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My PC/2023/"/>
    </mc:Choice>
  </mc:AlternateContent>
  <xr:revisionPtr revIDLastSave="9" documentId="8_{39760E9B-55A1-4257-AE55-DF4E2824B445}" xr6:coauthVersionLast="47" xr6:coauthVersionMax="47" xr10:uidLastSave="{F68A7A16-8267-46D4-AF12-703764838BD8}"/>
  <bookViews>
    <workbookView xWindow="-108" yWindow="-108" windowWidth="23256" windowHeight="12576" xr2:uid="{00000000-000D-0000-FFFF-FFFF00000000}"/>
  </bookViews>
  <sheets>
    <sheet name="MY PC report" sheetId="4" r:id="rId1"/>
    <sheet name="Sessions" sheetId="5" r:id="rId2"/>
    <sheet name="Minutes" sheetId="6" r:id="rId3"/>
  </sheets>
  <definedNames>
    <definedName name="_xlnm.Print_Titles" localSheetId="0">'MY PC report'!$1:$2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6" l="1"/>
  <c r="E26" i="6"/>
  <c r="B56" i="5"/>
  <c r="B55" i="5"/>
  <c r="B54" i="5"/>
  <c r="B51" i="5"/>
  <c r="B50" i="5"/>
  <c r="B49" i="5"/>
  <c r="B48" i="5"/>
  <c r="B46" i="5"/>
  <c r="B45" i="5"/>
  <c r="B44" i="5"/>
  <c r="B42" i="5"/>
  <c r="B41" i="5"/>
  <c r="B40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1" i="5"/>
  <c r="B20" i="5"/>
  <c r="B19" i="5"/>
  <c r="B18" i="5"/>
  <c r="B17" i="5"/>
  <c r="B16" i="5"/>
  <c r="B15" i="5"/>
  <c r="B14" i="5"/>
  <c r="B13" i="5"/>
  <c r="B9" i="5"/>
  <c r="B8" i="5"/>
  <c r="B6" i="5"/>
  <c r="B5" i="5"/>
  <c r="B4" i="5"/>
  <c r="B3" i="5"/>
  <c r="B1" i="5"/>
  <c r="B2" i="5"/>
  <c r="H57" i="6"/>
  <c r="H58" i="6"/>
  <c r="H65" i="6"/>
  <c r="G56" i="6"/>
  <c r="H56" i="6" s="1"/>
  <c r="G57" i="6"/>
  <c r="G58" i="6"/>
  <c r="G59" i="6"/>
  <c r="G60" i="6"/>
  <c r="G61" i="6"/>
  <c r="G62" i="6"/>
  <c r="G63" i="6"/>
  <c r="G64" i="6"/>
  <c r="H64" i="6" s="1"/>
  <c r="G65" i="6"/>
  <c r="F56" i="6"/>
  <c r="F57" i="6"/>
  <c r="F58" i="6"/>
  <c r="F59" i="6"/>
  <c r="H59" i="6" s="1"/>
  <c r="F60" i="6"/>
  <c r="H60" i="6" s="1"/>
  <c r="F61" i="6"/>
  <c r="H61" i="6" s="1"/>
  <c r="F62" i="6"/>
  <c r="H62" i="6" s="1"/>
  <c r="F63" i="6"/>
  <c r="H63" i="6" s="1"/>
  <c r="F64" i="6"/>
  <c r="F65" i="6"/>
  <c r="F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E4" i="4" l="1"/>
  <c r="E5" i="4"/>
  <c r="E6" i="4"/>
  <c r="E8" i="4"/>
  <c r="E7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3" i="4"/>
  <c r="G55" i="6"/>
  <c r="H55" i="6" s="1"/>
  <c r="G54" i="6"/>
  <c r="H54" i="6" s="1"/>
  <c r="E55" i="6" s="1"/>
  <c r="G53" i="6"/>
  <c r="H53" i="6" s="1"/>
  <c r="G52" i="6"/>
  <c r="H52" i="6"/>
  <c r="E54" i="6" s="1"/>
  <c r="G51" i="6"/>
  <c r="H51" i="6" s="1"/>
  <c r="E40" i="6" s="1"/>
  <c r="G50" i="6"/>
  <c r="H50" i="6" s="1"/>
  <c r="E10" i="6" s="1"/>
  <c r="G49" i="6"/>
  <c r="H49" i="6"/>
  <c r="G48" i="6"/>
  <c r="H48" i="6"/>
  <c r="G47" i="6"/>
  <c r="H47" i="6" s="1"/>
  <c r="G46" i="6"/>
  <c r="H46" i="6" s="1"/>
  <c r="G45" i="6"/>
  <c r="G44" i="6"/>
  <c r="G43" i="6"/>
  <c r="G42" i="6"/>
  <c r="G41" i="6"/>
  <c r="G40" i="6"/>
  <c r="G39" i="6"/>
  <c r="G38" i="6"/>
  <c r="G37" i="6"/>
  <c r="H37" i="6" s="1"/>
  <c r="G36" i="6"/>
  <c r="H36" i="6" s="1"/>
  <c r="G35" i="6"/>
  <c r="H35" i="6" s="1"/>
  <c r="G34" i="6"/>
  <c r="H34" i="6" s="1"/>
  <c r="G33" i="6"/>
  <c r="H33" i="6" s="1"/>
  <c r="G32" i="6"/>
  <c r="H32" i="6"/>
  <c r="G31" i="6"/>
  <c r="H31" i="6"/>
  <c r="G30" i="6"/>
  <c r="H30" i="6" s="1"/>
  <c r="E34" i="6" s="1"/>
  <c r="G29" i="6"/>
  <c r="H29" i="6" s="1"/>
  <c r="G28" i="6"/>
  <c r="G27" i="6"/>
  <c r="G26" i="6"/>
  <c r="G25" i="6"/>
  <c r="G24" i="6"/>
  <c r="G23" i="6"/>
  <c r="G22" i="6"/>
  <c r="G21" i="6"/>
  <c r="H21" i="6" s="1"/>
  <c r="G20" i="6"/>
  <c r="H20" i="6" s="1"/>
  <c r="G19" i="6"/>
  <c r="H19" i="6"/>
  <c r="G18" i="6"/>
  <c r="H18" i="6"/>
  <c r="G17" i="6"/>
  <c r="H17" i="6" s="1"/>
  <c r="G16" i="6"/>
  <c r="H16" i="6" s="1"/>
  <c r="G15" i="6"/>
  <c r="G14" i="6"/>
  <c r="G13" i="6"/>
  <c r="G12" i="6"/>
  <c r="G11" i="6"/>
  <c r="H11" i="6" s="1"/>
  <c r="G10" i="6"/>
  <c r="G9" i="6"/>
  <c r="G8" i="6"/>
  <c r="H8" i="6" s="1"/>
  <c r="G7" i="6"/>
  <c r="H7" i="6" s="1"/>
  <c r="G6" i="6"/>
  <c r="H6" i="6" s="1"/>
  <c r="G5" i="6"/>
  <c r="H5" i="6" s="1"/>
  <c r="G4" i="6"/>
  <c r="H4" i="6" s="1"/>
  <c r="G3" i="6"/>
  <c r="H3" i="6" s="1"/>
  <c r="G2" i="6"/>
  <c r="H2" i="6" s="1"/>
  <c r="E39" i="6" s="1"/>
  <c r="G1" i="6"/>
  <c r="F1" i="6"/>
  <c r="A1" i="4"/>
  <c r="E1" i="6" l="1"/>
  <c r="C33" i="4"/>
  <c r="G33" i="4" s="1"/>
  <c r="E19" i="6"/>
  <c r="E24" i="6"/>
  <c r="E43" i="6"/>
  <c r="C45" i="4" s="1"/>
  <c r="G45" i="4" s="1"/>
  <c r="C4" i="4"/>
  <c r="G4" i="4" s="1"/>
  <c r="E41" i="6"/>
  <c r="E15" i="6"/>
  <c r="C3" i="4"/>
  <c r="G3" i="4" s="1"/>
  <c r="E30" i="6"/>
  <c r="C21" i="4"/>
  <c r="G21" i="4" s="1"/>
  <c r="E50" i="6"/>
  <c r="E53" i="6"/>
  <c r="C41" i="4"/>
  <c r="G41" i="4" s="1"/>
  <c r="E27" i="6"/>
  <c r="C9" i="4"/>
  <c r="G9" i="4" s="1"/>
  <c r="E25" i="6"/>
  <c r="C32" i="4" s="1"/>
  <c r="G32" i="4" s="1"/>
  <c r="C37" i="4"/>
  <c r="E4" i="6"/>
  <c r="C18" i="4"/>
  <c r="G18" i="4" s="1"/>
  <c r="E20" i="6"/>
  <c r="E32" i="6"/>
  <c r="C36" i="4" s="1"/>
  <c r="G36" i="4" s="1"/>
  <c r="C10" i="4"/>
  <c r="G10" i="4" s="1"/>
  <c r="E52" i="6"/>
  <c r="C7" i="4" s="1"/>
  <c r="G7" i="4" s="1"/>
  <c r="E5" i="6"/>
  <c r="C39" i="4" s="1"/>
  <c r="G39" i="4" s="1"/>
  <c r="E48" i="4"/>
  <c r="H1" i="6"/>
  <c r="H9" i="6"/>
  <c r="H12" i="6"/>
  <c r="H14" i="6"/>
  <c r="H22" i="6"/>
  <c r="H24" i="6"/>
  <c r="E18" i="6" s="1"/>
  <c r="C19" i="4" s="1"/>
  <c r="G19" i="4" s="1"/>
  <c r="H26" i="6"/>
  <c r="H28" i="6"/>
  <c r="H39" i="6"/>
  <c r="E11" i="6" s="1"/>
  <c r="C14" i="4" s="1"/>
  <c r="G14" i="4" s="1"/>
  <c r="H41" i="6"/>
  <c r="H43" i="6"/>
  <c r="E49" i="6" s="1"/>
  <c r="C46" i="4" s="1"/>
  <c r="G46" i="4" s="1"/>
  <c r="H45" i="6"/>
  <c r="H10" i="6"/>
  <c r="H13" i="6"/>
  <c r="H15" i="6"/>
  <c r="H23" i="6"/>
  <c r="H25" i="6"/>
  <c r="H27" i="6"/>
  <c r="H38" i="6"/>
  <c r="H40" i="6"/>
  <c r="E51" i="6" s="1"/>
  <c r="C43" i="4" s="1"/>
  <c r="G43" i="4" s="1"/>
  <c r="H42" i="6"/>
  <c r="E8" i="6" s="1"/>
  <c r="C5" i="4" s="1"/>
  <c r="G5" i="4" s="1"/>
  <c r="H44" i="6"/>
  <c r="E28" i="6" s="1"/>
  <c r="B57" i="5"/>
  <c r="C40" i="4"/>
  <c r="C8" i="4"/>
  <c r="C30" i="4" l="1"/>
  <c r="G30" i="4" s="1"/>
  <c r="E31" i="6"/>
  <c r="C35" i="4" s="1"/>
  <c r="G35" i="4" s="1"/>
  <c r="C13" i="4"/>
  <c r="G13" i="4" s="1"/>
  <c r="E6" i="6"/>
  <c r="C26" i="4" s="1"/>
  <c r="G26" i="4" s="1"/>
  <c r="E21" i="6"/>
  <c r="C47" i="4"/>
  <c r="G47" i="4" s="1"/>
  <c r="E37" i="6"/>
  <c r="C38" i="4" s="1"/>
  <c r="G38" i="4" s="1"/>
  <c r="C20" i="4"/>
  <c r="G20" i="4" s="1"/>
  <c r="E29" i="6"/>
  <c r="C34" i="4" s="1"/>
  <c r="G34" i="4" s="1"/>
  <c r="C31" i="4"/>
  <c r="G31" i="4" s="1"/>
  <c r="E45" i="6"/>
  <c r="C29" i="4"/>
  <c r="G29" i="4" s="1"/>
  <c r="E3" i="6"/>
  <c r="C6" i="4" s="1"/>
  <c r="G6" i="4" s="1"/>
  <c r="C28" i="4"/>
  <c r="G28" i="4" s="1"/>
  <c r="E23" i="6"/>
  <c r="C22" i="4" s="1"/>
  <c r="G22" i="4" s="1"/>
  <c r="C44" i="4"/>
  <c r="G44" i="4" s="1"/>
  <c r="E9" i="6"/>
  <c r="C27" i="4" s="1"/>
  <c r="G27" i="4" s="1"/>
  <c r="C12" i="4"/>
  <c r="G12" i="4" s="1"/>
  <c r="E42" i="6"/>
  <c r="C25" i="4"/>
  <c r="G25" i="4" s="1"/>
  <c r="E14" i="6"/>
  <c r="E22" i="6"/>
  <c r="C24" i="4" s="1"/>
  <c r="G24" i="4" s="1"/>
  <c r="C23" i="4"/>
  <c r="G23" i="4" s="1"/>
  <c r="E44" i="6"/>
  <c r="C42" i="4" s="1"/>
  <c r="G42" i="4" s="1"/>
  <c r="C11" i="4"/>
  <c r="G11" i="4" s="1"/>
  <c r="E12" i="6"/>
  <c r="C15" i="4" s="1"/>
  <c r="G15" i="4" s="1"/>
  <c r="C17" i="4"/>
  <c r="G17" i="4" s="1"/>
  <c r="E13" i="6"/>
  <c r="C16" i="4" s="1"/>
  <c r="G16" i="4" s="1"/>
  <c r="G8" i="4"/>
  <c r="C48" i="4" l="1"/>
  <c r="G48" i="4" s="1"/>
</calcChain>
</file>

<file path=xl/sharedStrings.xml><?xml version="1.0" encoding="utf-8"?>
<sst xmlns="http://schemas.openxmlformats.org/spreadsheetml/2006/main" count="255" uniqueCount="110">
  <si>
    <t>Library</t>
  </si>
  <si>
    <t>Total Minutes</t>
  </si>
  <si>
    <t>Total Sessions</t>
  </si>
  <si>
    <t>Avg Minutes per Session</t>
  </si>
  <si>
    <t>Algoma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</si>
  <si>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</si>
  <si>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</si>
  <si>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</si>
  <si>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</si>
  <si>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</si>
  <si>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</si>
  <si>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</si>
  <si>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</si>
  <si>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</si>
  <si>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</si>
  <si>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</si>
  <si>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</si>
  <si>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</si>
  <si>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</si>
  <si>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</si>
  <si>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</si>
  <si>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</si>
  <si>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Kimberly</t>
  </si>
  <si>
    <t>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</si>
  <si>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</si>
  <si>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</si>
  <si>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</si>
  <si>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</si>
  <si>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</si>
  <si>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</si>
  <si>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</si>
  <si>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</si>
  <si>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</si>
  <si>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</si>
  <si>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</si>
  <si>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</si>
  <si>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</si>
  <si>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</si>
  <si>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</si>
  <si>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</si>
  <si>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</si>
  <si>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</si>
  <si>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</si>
  <si>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</si>
  <si>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</si>
  <si>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</si>
  <si>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</si>
  <si>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</si>
  <si>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</si>
  <si>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</si>
  <si>
    <t>Total</t>
  </si>
  <si>
    <t>Location total usage</t>
  </si>
  <si>
    <t xml:space="preserve">Location             </t>
  </si>
  <si>
    <t>STR - Internet Access</t>
  </si>
  <si>
    <t xml:space="preserve">SHA - Internet       </t>
  </si>
  <si>
    <t xml:space="preserve">WAU - Internet       </t>
  </si>
  <si>
    <t>KAU - Internet Access</t>
  </si>
  <si>
    <t>IVL - Internet Access</t>
  </si>
  <si>
    <t>MRT - Internet Access</t>
  </si>
  <si>
    <t>KIM - Internet Access</t>
  </si>
  <si>
    <t xml:space="preserve">ONE - Internet       </t>
  </si>
  <si>
    <t>LIT - Internet Access</t>
  </si>
  <si>
    <t>SEY - Internet Access</t>
  </si>
  <si>
    <t xml:space="preserve">OCO - Internet       </t>
  </si>
  <si>
    <t xml:space="preserve">OCF - Internet       </t>
  </si>
  <si>
    <t xml:space="preserve">GIL - Internet       </t>
  </si>
  <si>
    <t>LAK - Internet Access</t>
  </si>
  <si>
    <t xml:space="preserve">TIG - Internet       </t>
  </si>
  <si>
    <t>KEW - Internet Access</t>
  </si>
  <si>
    <t>SIS - Internet Access</t>
  </si>
  <si>
    <t>CPL - Internet Access</t>
  </si>
  <si>
    <t>ALG - Internet Access</t>
  </si>
  <si>
    <t>MAN - Internet Access</t>
  </si>
  <si>
    <t xml:space="preserve">STR - Laurie Room    </t>
  </si>
  <si>
    <t xml:space="preserve">ON2 - Internet       </t>
  </si>
  <si>
    <t>HPL - Internet Access</t>
  </si>
  <si>
    <t xml:space="preserve">KAU - Teen           </t>
  </si>
  <si>
    <t>CRI - Internet Access</t>
  </si>
  <si>
    <t>FPL - Internet Access</t>
  </si>
  <si>
    <t>WAS - Internet Access</t>
  </si>
  <si>
    <t>LEN - Internet Access</t>
  </si>
  <si>
    <t>MAR - Internet Access</t>
  </si>
  <si>
    <t xml:space="preserve">PES - Child          </t>
  </si>
  <si>
    <t>SUR - Internet Access</t>
  </si>
  <si>
    <t>WEY - Internet Access</t>
  </si>
  <si>
    <t>BCL - Internet Access</t>
  </si>
  <si>
    <t>Egg - Internet Access</t>
  </si>
  <si>
    <t xml:space="preserve">KAU - Child          </t>
  </si>
  <si>
    <t xml:space="preserve">WAU - Child          </t>
  </si>
  <si>
    <t xml:space="preserve">ALG - Child          </t>
  </si>
  <si>
    <t xml:space="preserve">Egg - Business       </t>
  </si>
  <si>
    <t xml:space="preserve">FLO - Internet       </t>
  </si>
  <si>
    <t xml:space="preserve">WIT - Internet       </t>
  </si>
  <si>
    <t>BAI - Internet Access</t>
  </si>
  <si>
    <t xml:space="preserve">CPL - Child          </t>
  </si>
  <si>
    <t xml:space="preserve">WAU - Teen           </t>
  </si>
  <si>
    <t>NIA - Internet Access</t>
  </si>
  <si>
    <t>COL - Internet Access</t>
  </si>
  <si>
    <t xml:space="preserve">Egg - MakerSP        </t>
  </si>
  <si>
    <t xml:space="preserve">BON - Internet       </t>
  </si>
  <si>
    <t xml:space="preserve">SHA - Child          </t>
  </si>
  <si>
    <t xml:space="preserve">WAU - Study          </t>
  </si>
  <si>
    <t>FIS - Internet Access</t>
  </si>
  <si>
    <t xml:space="preserve">SHI  - Internet      </t>
  </si>
  <si>
    <t>WSH - Internet Access</t>
  </si>
  <si>
    <t>FOR - Internet Access</t>
  </si>
  <si>
    <t>EPH - Internet Access</t>
  </si>
  <si>
    <t xml:space="preserve">Egg - History        </t>
  </si>
  <si>
    <t xml:space="preserve">                    </t>
  </si>
  <si>
    <t xml:space="preserve">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</si>
</sst>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0"/>
      <name val="Arial"/>
      <family val="2"/>
    </font>
    <font>
      <sz val="12"/>
      <name val="MS UI Gothic"/>
      <family val="2"/>
    </font>
    <font>
      <sz val="11"/>
      <color theme="1"/>
      <name val="Cambria"/>
      <family val="1"/>
    </font>
    <font>
      <sz val="11"/>
      <name val="Malgun Gothic"/>
      <family val="2"/>
    </font>
    <font>
      <b/>
      <sz val="11"/>
      <name val="Malgun Gothic"/>
      <family val="2"/>
    </font>
    <font>
      <sz val="20"/>
      <color theme="1"/>
      <name val="Malgun Gothic"/>
      <family val="2"/>
    </font>
    <font>
      <sz val="12"/>
      <color theme="1"/>
      <name val="Malgun Gothic"/>
      <family val="2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Arial"/>
      <family val="2"/>
    </font>
    <font>
      <sz val="11"/>
      <color rgb="FF444444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1">
    <xf numFmtId="0" fontId="0" fillId="0" borderId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4" applyNumberFormat="0" applyAlignment="0" applyProtection="0"/>
    <xf numFmtId="0" fontId="31" fillId="8" borderId="5" applyNumberFormat="0" applyAlignment="0" applyProtection="0"/>
    <xf numFmtId="0" fontId="32" fillId="8" borderId="4" applyNumberFormat="0" applyAlignment="0" applyProtection="0"/>
    <xf numFmtId="0" fontId="33" fillId="0" borderId="6" applyNumberFormat="0" applyFill="0" applyAlignment="0" applyProtection="0"/>
    <xf numFmtId="0" fontId="34" fillId="9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38" fillId="34" borderId="0" applyNumberFormat="0" applyBorder="0" applyAlignment="0" applyProtection="0"/>
    <xf numFmtId="0" fontId="13" fillId="0" borderId="0"/>
    <xf numFmtId="0" fontId="13" fillId="10" borderId="8" applyNumberFormat="0" applyFont="0" applyAlignment="0" applyProtection="0"/>
    <xf numFmtId="0" fontId="12" fillId="0" borderId="0"/>
    <xf numFmtId="0" fontId="12" fillId="10" borderId="8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10" borderId="8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10" borderId="8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10" borderId="8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10" borderId="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10" borderId="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10" borderId="8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10" borderId="8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10" borderId="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10" borderId="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5">
    <xf numFmtId="0" fontId="0" fillId="0" borderId="0" xfId="0"/>
    <xf numFmtId="0" fontId="15" fillId="0" borderId="0" xfId="0" applyFont="1" applyAlignment="1">
      <alignment vertical="top"/>
    </xf>
    <xf numFmtId="1" fontId="0" fillId="0" borderId="0" xfId="0" applyNumberFormat="1"/>
    <xf numFmtId="0" fontId="22" fillId="0" borderId="0" xfId="0" applyFont="1"/>
    <xf numFmtId="1" fontId="22" fillId="0" borderId="0" xfId="0" applyNumberFormat="1" applyFont="1"/>
    <xf numFmtId="1" fontId="15" fillId="0" borderId="0" xfId="0" applyNumberFormat="1" applyFont="1" applyAlignment="1">
      <alignment vertical="top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 vertical="top"/>
    </xf>
    <xf numFmtId="0" fontId="39" fillId="0" borderId="0" xfId="0" applyFont="1"/>
    <xf numFmtId="0" fontId="11" fillId="0" borderId="0" xfId="57"/>
    <xf numFmtId="3" fontId="11" fillId="0" borderId="0" xfId="57" applyNumberFormat="1"/>
    <xf numFmtId="46" fontId="0" fillId="0" borderId="0" xfId="0" applyNumberFormat="1"/>
    <xf numFmtId="21" fontId="0" fillId="0" borderId="0" xfId="0" applyNumberFormat="1"/>
    <xf numFmtId="0" fontId="20" fillId="0" borderId="0" xfId="0" applyFont="1" applyAlignment="1">
      <alignment vertical="top"/>
    </xf>
    <xf numFmtId="0" fontId="21" fillId="3" borderId="0" xfId="0" applyFont="1" applyFill="1" applyAlignment="1">
      <alignment vertical="center"/>
    </xf>
    <xf numFmtId="0" fontId="21" fillId="3" borderId="0" xfId="0" applyFont="1" applyFill="1" applyAlignment="1">
      <alignment vertical="top"/>
    </xf>
    <xf numFmtId="3" fontId="21" fillId="3" borderId="0" xfId="0" applyNumberFormat="1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" fontId="21" fillId="3" borderId="0" xfId="0" applyNumberFormat="1" applyFont="1" applyFill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3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5" fillId="0" borderId="0" xfId="0" applyFont="1"/>
    <xf numFmtId="0" fontId="18" fillId="35" borderId="0" xfId="0" applyFont="1" applyFill="1"/>
    <xf numFmtId="3" fontId="18" fillId="35" borderId="0" xfId="0" applyNumberFormat="1" applyFont="1" applyFill="1" applyAlignment="1">
      <alignment horizontal="center"/>
    </xf>
    <xf numFmtId="1" fontId="18" fillId="35" borderId="0" xfId="0" applyNumberFormat="1" applyFont="1" applyFill="1" applyAlignment="1">
      <alignment horizontal="center"/>
    </xf>
    <xf numFmtId="0" fontId="15" fillId="35" borderId="0" xfId="0" applyFont="1" applyFill="1"/>
    <xf numFmtId="0" fontId="15" fillId="2" borderId="0" xfId="0" applyFont="1" applyFill="1"/>
    <xf numFmtId="0" fontId="16" fillId="0" borderId="0" xfId="0" applyFont="1"/>
    <xf numFmtId="0" fontId="19" fillId="35" borderId="0" xfId="0" applyFont="1" applyFill="1"/>
    <xf numFmtId="3" fontId="19" fillId="35" borderId="0" xfId="0" applyNumberFormat="1" applyFont="1" applyFill="1" applyAlignment="1">
      <alignment horizontal="center"/>
    </xf>
    <xf numFmtId="1" fontId="19" fillId="35" borderId="0" xfId="0" applyNumberFormat="1" applyFont="1" applyFill="1" applyAlignment="1">
      <alignment horizontal="center"/>
    </xf>
    <xf numFmtId="1" fontId="15" fillId="0" borderId="0" xfId="0" applyNumberFormat="1" applyFont="1"/>
    <xf numFmtId="0" fontId="40" fillId="0" borderId="0" xfId="0" applyFont="1"/>
  </cellXfs>
  <cellStyles count="211">
    <cellStyle name="20% - Accent1" xfId="18" builtinId="30" customBuiltin="1"/>
    <cellStyle name="20% - Accent1 10" xfId="157" xr:uid="{00000000-0005-0000-0000-000001000000}"/>
    <cellStyle name="20% - Accent1 11" xfId="171" xr:uid="{00000000-0005-0000-0000-000002000000}"/>
    <cellStyle name="20% - Accent1 12" xfId="185" xr:uid="{00000000-0005-0000-0000-000003000000}"/>
    <cellStyle name="20% - Accent1 13" xfId="199" xr:uid="{00000000-0005-0000-0000-000004000000}"/>
    <cellStyle name="20% - Accent1 2" xfId="45" xr:uid="{00000000-0005-0000-0000-000005000000}"/>
    <cellStyle name="20% - Accent1 3" xfId="59" xr:uid="{00000000-0005-0000-0000-000006000000}"/>
    <cellStyle name="20% - Accent1 4" xfId="73" xr:uid="{00000000-0005-0000-0000-000007000000}"/>
    <cellStyle name="20% - Accent1 5" xfId="87" xr:uid="{00000000-0005-0000-0000-000008000000}"/>
    <cellStyle name="20% - Accent1 6" xfId="101" xr:uid="{00000000-0005-0000-0000-000009000000}"/>
    <cellStyle name="20% - Accent1 7" xfId="115" xr:uid="{00000000-0005-0000-0000-00000A000000}"/>
    <cellStyle name="20% - Accent1 8" xfId="129" xr:uid="{00000000-0005-0000-0000-00000B000000}"/>
    <cellStyle name="20% - Accent1 9" xfId="143" xr:uid="{00000000-0005-0000-0000-00000C000000}"/>
    <cellStyle name="20% - Accent2" xfId="22" builtinId="34" customBuiltin="1"/>
    <cellStyle name="20% - Accent2 10" xfId="159" xr:uid="{00000000-0005-0000-0000-00000E000000}"/>
    <cellStyle name="20% - Accent2 11" xfId="173" xr:uid="{00000000-0005-0000-0000-00000F000000}"/>
    <cellStyle name="20% - Accent2 12" xfId="187" xr:uid="{00000000-0005-0000-0000-000010000000}"/>
    <cellStyle name="20% - Accent2 13" xfId="201" xr:uid="{00000000-0005-0000-0000-000011000000}"/>
    <cellStyle name="20% - Accent2 2" xfId="47" xr:uid="{00000000-0005-0000-0000-000012000000}"/>
    <cellStyle name="20% - Accent2 3" xfId="61" xr:uid="{00000000-0005-0000-0000-000013000000}"/>
    <cellStyle name="20% - Accent2 4" xfId="75" xr:uid="{00000000-0005-0000-0000-000014000000}"/>
    <cellStyle name="20% - Accent2 5" xfId="89" xr:uid="{00000000-0005-0000-0000-000015000000}"/>
    <cellStyle name="20% - Accent2 6" xfId="103" xr:uid="{00000000-0005-0000-0000-000016000000}"/>
    <cellStyle name="20% - Accent2 7" xfId="117" xr:uid="{00000000-0005-0000-0000-000017000000}"/>
    <cellStyle name="20% - Accent2 8" xfId="131" xr:uid="{00000000-0005-0000-0000-000018000000}"/>
    <cellStyle name="20% - Accent2 9" xfId="145" xr:uid="{00000000-0005-0000-0000-000019000000}"/>
    <cellStyle name="20% - Accent3" xfId="26" builtinId="38" customBuiltin="1"/>
    <cellStyle name="20% - Accent3 10" xfId="161" xr:uid="{00000000-0005-0000-0000-00001B000000}"/>
    <cellStyle name="20% - Accent3 11" xfId="175" xr:uid="{00000000-0005-0000-0000-00001C000000}"/>
    <cellStyle name="20% - Accent3 12" xfId="189" xr:uid="{00000000-0005-0000-0000-00001D000000}"/>
    <cellStyle name="20% - Accent3 13" xfId="203" xr:uid="{00000000-0005-0000-0000-00001E000000}"/>
    <cellStyle name="20% - Accent3 2" xfId="49" xr:uid="{00000000-0005-0000-0000-00001F000000}"/>
    <cellStyle name="20% - Accent3 3" xfId="63" xr:uid="{00000000-0005-0000-0000-000020000000}"/>
    <cellStyle name="20% - Accent3 4" xfId="77" xr:uid="{00000000-0005-0000-0000-000021000000}"/>
    <cellStyle name="20% - Accent3 5" xfId="91" xr:uid="{00000000-0005-0000-0000-000022000000}"/>
    <cellStyle name="20% - Accent3 6" xfId="105" xr:uid="{00000000-0005-0000-0000-000023000000}"/>
    <cellStyle name="20% - Accent3 7" xfId="119" xr:uid="{00000000-0005-0000-0000-000024000000}"/>
    <cellStyle name="20% - Accent3 8" xfId="133" xr:uid="{00000000-0005-0000-0000-000025000000}"/>
    <cellStyle name="20% - Accent3 9" xfId="147" xr:uid="{00000000-0005-0000-0000-000026000000}"/>
    <cellStyle name="20% - Accent4" xfId="30" builtinId="42" customBuiltin="1"/>
    <cellStyle name="20% - Accent4 10" xfId="163" xr:uid="{00000000-0005-0000-0000-000028000000}"/>
    <cellStyle name="20% - Accent4 11" xfId="177" xr:uid="{00000000-0005-0000-0000-000029000000}"/>
    <cellStyle name="20% - Accent4 12" xfId="191" xr:uid="{00000000-0005-0000-0000-00002A000000}"/>
    <cellStyle name="20% - Accent4 13" xfId="205" xr:uid="{00000000-0005-0000-0000-00002B000000}"/>
    <cellStyle name="20% - Accent4 2" xfId="51" xr:uid="{00000000-0005-0000-0000-00002C000000}"/>
    <cellStyle name="20% - Accent4 3" xfId="65" xr:uid="{00000000-0005-0000-0000-00002D000000}"/>
    <cellStyle name="20% - Accent4 4" xfId="79" xr:uid="{00000000-0005-0000-0000-00002E000000}"/>
    <cellStyle name="20% - Accent4 5" xfId="93" xr:uid="{00000000-0005-0000-0000-00002F000000}"/>
    <cellStyle name="20% - Accent4 6" xfId="107" xr:uid="{00000000-0005-0000-0000-000030000000}"/>
    <cellStyle name="20% - Accent4 7" xfId="121" xr:uid="{00000000-0005-0000-0000-000031000000}"/>
    <cellStyle name="20% - Accent4 8" xfId="135" xr:uid="{00000000-0005-0000-0000-000032000000}"/>
    <cellStyle name="20% - Accent4 9" xfId="149" xr:uid="{00000000-0005-0000-0000-000033000000}"/>
    <cellStyle name="20% - Accent5" xfId="34" builtinId="46" customBuiltin="1"/>
    <cellStyle name="20% - Accent5 10" xfId="165" xr:uid="{00000000-0005-0000-0000-000035000000}"/>
    <cellStyle name="20% - Accent5 11" xfId="179" xr:uid="{00000000-0005-0000-0000-000036000000}"/>
    <cellStyle name="20% - Accent5 12" xfId="193" xr:uid="{00000000-0005-0000-0000-000037000000}"/>
    <cellStyle name="20% - Accent5 13" xfId="207" xr:uid="{00000000-0005-0000-0000-000038000000}"/>
    <cellStyle name="20% - Accent5 2" xfId="53" xr:uid="{00000000-0005-0000-0000-000039000000}"/>
    <cellStyle name="20% - Accent5 3" xfId="67" xr:uid="{00000000-0005-0000-0000-00003A000000}"/>
    <cellStyle name="20% - Accent5 4" xfId="81" xr:uid="{00000000-0005-0000-0000-00003B000000}"/>
    <cellStyle name="20% - Accent5 5" xfId="95" xr:uid="{00000000-0005-0000-0000-00003C000000}"/>
    <cellStyle name="20% - Accent5 6" xfId="109" xr:uid="{00000000-0005-0000-0000-00003D000000}"/>
    <cellStyle name="20% - Accent5 7" xfId="123" xr:uid="{00000000-0005-0000-0000-00003E000000}"/>
    <cellStyle name="20% - Accent5 8" xfId="137" xr:uid="{00000000-0005-0000-0000-00003F000000}"/>
    <cellStyle name="20% - Accent5 9" xfId="151" xr:uid="{00000000-0005-0000-0000-000040000000}"/>
    <cellStyle name="20% - Accent6" xfId="38" builtinId="50" customBuiltin="1"/>
    <cellStyle name="20% - Accent6 10" xfId="167" xr:uid="{00000000-0005-0000-0000-000042000000}"/>
    <cellStyle name="20% - Accent6 11" xfId="181" xr:uid="{00000000-0005-0000-0000-000043000000}"/>
    <cellStyle name="20% - Accent6 12" xfId="195" xr:uid="{00000000-0005-0000-0000-000044000000}"/>
    <cellStyle name="20% - Accent6 13" xfId="209" xr:uid="{00000000-0005-0000-0000-000045000000}"/>
    <cellStyle name="20% - Accent6 2" xfId="55" xr:uid="{00000000-0005-0000-0000-000046000000}"/>
    <cellStyle name="20% - Accent6 3" xfId="69" xr:uid="{00000000-0005-0000-0000-000047000000}"/>
    <cellStyle name="20% - Accent6 4" xfId="83" xr:uid="{00000000-0005-0000-0000-000048000000}"/>
    <cellStyle name="20% - Accent6 5" xfId="97" xr:uid="{00000000-0005-0000-0000-000049000000}"/>
    <cellStyle name="20% - Accent6 6" xfId="111" xr:uid="{00000000-0005-0000-0000-00004A000000}"/>
    <cellStyle name="20% - Accent6 7" xfId="125" xr:uid="{00000000-0005-0000-0000-00004B000000}"/>
    <cellStyle name="20% - Accent6 8" xfId="139" xr:uid="{00000000-0005-0000-0000-00004C000000}"/>
    <cellStyle name="20% - Accent6 9" xfId="153" xr:uid="{00000000-0005-0000-0000-00004D000000}"/>
    <cellStyle name="40% - Accent1" xfId="19" builtinId="31" customBuiltin="1"/>
    <cellStyle name="40% - Accent1 10" xfId="158" xr:uid="{00000000-0005-0000-0000-00004F000000}"/>
    <cellStyle name="40% - Accent1 11" xfId="172" xr:uid="{00000000-0005-0000-0000-000050000000}"/>
    <cellStyle name="40% - Accent1 12" xfId="186" xr:uid="{00000000-0005-0000-0000-000051000000}"/>
    <cellStyle name="40% - Accent1 13" xfId="200" xr:uid="{00000000-0005-0000-0000-000052000000}"/>
    <cellStyle name="40% - Accent1 2" xfId="46" xr:uid="{00000000-0005-0000-0000-000053000000}"/>
    <cellStyle name="40% - Accent1 3" xfId="60" xr:uid="{00000000-0005-0000-0000-000054000000}"/>
    <cellStyle name="40% - Accent1 4" xfId="74" xr:uid="{00000000-0005-0000-0000-000055000000}"/>
    <cellStyle name="40% - Accent1 5" xfId="88" xr:uid="{00000000-0005-0000-0000-000056000000}"/>
    <cellStyle name="40% - Accent1 6" xfId="102" xr:uid="{00000000-0005-0000-0000-000057000000}"/>
    <cellStyle name="40% - Accent1 7" xfId="116" xr:uid="{00000000-0005-0000-0000-000058000000}"/>
    <cellStyle name="40% - Accent1 8" xfId="130" xr:uid="{00000000-0005-0000-0000-000059000000}"/>
    <cellStyle name="40% - Accent1 9" xfId="144" xr:uid="{00000000-0005-0000-0000-00005A000000}"/>
    <cellStyle name="40% - Accent2" xfId="23" builtinId="35" customBuiltin="1"/>
    <cellStyle name="40% - Accent2 10" xfId="160" xr:uid="{00000000-0005-0000-0000-00005C000000}"/>
    <cellStyle name="40% - Accent2 11" xfId="174" xr:uid="{00000000-0005-0000-0000-00005D000000}"/>
    <cellStyle name="40% - Accent2 12" xfId="188" xr:uid="{00000000-0005-0000-0000-00005E000000}"/>
    <cellStyle name="40% - Accent2 13" xfId="202" xr:uid="{00000000-0005-0000-0000-00005F000000}"/>
    <cellStyle name="40% - Accent2 2" xfId="48" xr:uid="{00000000-0005-0000-0000-000060000000}"/>
    <cellStyle name="40% - Accent2 3" xfId="62" xr:uid="{00000000-0005-0000-0000-000061000000}"/>
    <cellStyle name="40% - Accent2 4" xfId="76" xr:uid="{00000000-0005-0000-0000-000062000000}"/>
    <cellStyle name="40% - Accent2 5" xfId="90" xr:uid="{00000000-0005-0000-0000-000063000000}"/>
    <cellStyle name="40% - Accent2 6" xfId="104" xr:uid="{00000000-0005-0000-0000-000064000000}"/>
    <cellStyle name="40% - Accent2 7" xfId="118" xr:uid="{00000000-0005-0000-0000-000065000000}"/>
    <cellStyle name="40% - Accent2 8" xfId="132" xr:uid="{00000000-0005-0000-0000-000066000000}"/>
    <cellStyle name="40% - Accent2 9" xfId="146" xr:uid="{00000000-0005-0000-0000-000067000000}"/>
    <cellStyle name="40% - Accent3" xfId="27" builtinId="39" customBuiltin="1"/>
    <cellStyle name="40% - Accent3 10" xfId="162" xr:uid="{00000000-0005-0000-0000-000069000000}"/>
    <cellStyle name="40% - Accent3 11" xfId="176" xr:uid="{00000000-0005-0000-0000-00006A000000}"/>
    <cellStyle name="40% - Accent3 12" xfId="190" xr:uid="{00000000-0005-0000-0000-00006B000000}"/>
    <cellStyle name="40% - Accent3 13" xfId="204" xr:uid="{00000000-0005-0000-0000-00006C000000}"/>
    <cellStyle name="40% - Accent3 2" xfId="50" xr:uid="{00000000-0005-0000-0000-00006D000000}"/>
    <cellStyle name="40% - Accent3 3" xfId="64" xr:uid="{00000000-0005-0000-0000-00006E000000}"/>
    <cellStyle name="40% - Accent3 4" xfId="78" xr:uid="{00000000-0005-0000-0000-00006F000000}"/>
    <cellStyle name="40% - Accent3 5" xfId="92" xr:uid="{00000000-0005-0000-0000-000070000000}"/>
    <cellStyle name="40% - Accent3 6" xfId="106" xr:uid="{00000000-0005-0000-0000-000071000000}"/>
    <cellStyle name="40% - Accent3 7" xfId="120" xr:uid="{00000000-0005-0000-0000-000072000000}"/>
    <cellStyle name="40% - Accent3 8" xfId="134" xr:uid="{00000000-0005-0000-0000-000073000000}"/>
    <cellStyle name="40% - Accent3 9" xfId="148" xr:uid="{00000000-0005-0000-0000-000074000000}"/>
    <cellStyle name="40% - Accent4" xfId="31" builtinId="43" customBuiltin="1"/>
    <cellStyle name="40% - Accent4 10" xfId="164" xr:uid="{00000000-0005-0000-0000-000076000000}"/>
    <cellStyle name="40% - Accent4 11" xfId="178" xr:uid="{00000000-0005-0000-0000-000077000000}"/>
    <cellStyle name="40% - Accent4 12" xfId="192" xr:uid="{00000000-0005-0000-0000-000078000000}"/>
    <cellStyle name="40% - Accent4 13" xfId="206" xr:uid="{00000000-0005-0000-0000-000079000000}"/>
    <cellStyle name="40% - Accent4 2" xfId="52" xr:uid="{00000000-0005-0000-0000-00007A000000}"/>
    <cellStyle name="40% - Accent4 3" xfId="66" xr:uid="{00000000-0005-0000-0000-00007B000000}"/>
    <cellStyle name="40% - Accent4 4" xfId="80" xr:uid="{00000000-0005-0000-0000-00007C000000}"/>
    <cellStyle name="40% - Accent4 5" xfId="94" xr:uid="{00000000-0005-0000-0000-00007D000000}"/>
    <cellStyle name="40% - Accent4 6" xfId="108" xr:uid="{00000000-0005-0000-0000-00007E000000}"/>
    <cellStyle name="40% - Accent4 7" xfId="122" xr:uid="{00000000-0005-0000-0000-00007F000000}"/>
    <cellStyle name="40% - Accent4 8" xfId="136" xr:uid="{00000000-0005-0000-0000-000080000000}"/>
    <cellStyle name="40% - Accent4 9" xfId="150" xr:uid="{00000000-0005-0000-0000-000081000000}"/>
    <cellStyle name="40% - Accent5" xfId="35" builtinId="47" customBuiltin="1"/>
    <cellStyle name="40% - Accent5 10" xfId="166" xr:uid="{00000000-0005-0000-0000-000083000000}"/>
    <cellStyle name="40% - Accent5 11" xfId="180" xr:uid="{00000000-0005-0000-0000-000084000000}"/>
    <cellStyle name="40% - Accent5 12" xfId="194" xr:uid="{00000000-0005-0000-0000-000085000000}"/>
    <cellStyle name="40% - Accent5 13" xfId="208" xr:uid="{00000000-0005-0000-0000-000086000000}"/>
    <cellStyle name="40% - Accent5 2" xfId="54" xr:uid="{00000000-0005-0000-0000-000087000000}"/>
    <cellStyle name="40% - Accent5 3" xfId="68" xr:uid="{00000000-0005-0000-0000-000088000000}"/>
    <cellStyle name="40% - Accent5 4" xfId="82" xr:uid="{00000000-0005-0000-0000-000089000000}"/>
    <cellStyle name="40% - Accent5 5" xfId="96" xr:uid="{00000000-0005-0000-0000-00008A000000}"/>
    <cellStyle name="40% - Accent5 6" xfId="110" xr:uid="{00000000-0005-0000-0000-00008B000000}"/>
    <cellStyle name="40% - Accent5 7" xfId="124" xr:uid="{00000000-0005-0000-0000-00008C000000}"/>
    <cellStyle name="40% - Accent5 8" xfId="138" xr:uid="{00000000-0005-0000-0000-00008D000000}"/>
    <cellStyle name="40% - Accent5 9" xfId="152" xr:uid="{00000000-0005-0000-0000-00008E000000}"/>
    <cellStyle name="40% - Accent6" xfId="39" builtinId="51" customBuiltin="1"/>
    <cellStyle name="40% - Accent6 10" xfId="168" xr:uid="{00000000-0005-0000-0000-000090000000}"/>
    <cellStyle name="40% - Accent6 11" xfId="182" xr:uid="{00000000-0005-0000-0000-000091000000}"/>
    <cellStyle name="40% - Accent6 12" xfId="196" xr:uid="{00000000-0005-0000-0000-000092000000}"/>
    <cellStyle name="40% - Accent6 13" xfId="210" xr:uid="{00000000-0005-0000-0000-000093000000}"/>
    <cellStyle name="40% - Accent6 2" xfId="56" xr:uid="{00000000-0005-0000-0000-000094000000}"/>
    <cellStyle name="40% - Accent6 3" xfId="70" xr:uid="{00000000-0005-0000-0000-000095000000}"/>
    <cellStyle name="40% - Accent6 4" xfId="84" xr:uid="{00000000-0005-0000-0000-000096000000}"/>
    <cellStyle name="40% - Accent6 5" xfId="98" xr:uid="{00000000-0005-0000-0000-000097000000}"/>
    <cellStyle name="40% - Accent6 6" xfId="112" xr:uid="{00000000-0005-0000-0000-000098000000}"/>
    <cellStyle name="40% - Accent6 7" xfId="126" xr:uid="{00000000-0005-0000-0000-000099000000}"/>
    <cellStyle name="40% - Accent6 8" xfId="140" xr:uid="{00000000-0005-0000-0000-00009A000000}"/>
    <cellStyle name="40% - Accent6 9" xfId="154" xr:uid="{00000000-0005-0000-0000-00009B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41" xr:uid="{00000000-0005-0000-0000-0000B5000000}"/>
    <cellStyle name="Normal 11" xfId="155" xr:uid="{00000000-0005-0000-0000-0000B6000000}"/>
    <cellStyle name="Normal 12" xfId="169" xr:uid="{00000000-0005-0000-0000-0000B7000000}"/>
    <cellStyle name="Normal 13" xfId="183" xr:uid="{00000000-0005-0000-0000-0000B8000000}"/>
    <cellStyle name="Normal 14" xfId="197" xr:uid="{00000000-0005-0000-0000-0000B9000000}"/>
    <cellStyle name="Normal 2" xfId="41" xr:uid="{00000000-0005-0000-0000-0000BA000000}"/>
    <cellStyle name="Normal 3" xfId="43" xr:uid="{00000000-0005-0000-0000-0000BB000000}"/>
    <cellStyle name="Normal 4" xfId="57" xr:uid="{00000000-0005-0000-0000-0000BC000000}"/>
    <cellStyle name="Normal 5" xfId="71" xr:uid="{00000000-0005-0000-0000-0000BD000000}"/>
    <cellStyle name="Normal 6" xfId="85" xr:uid="{00000000-0005-0000-0000-0000BE000000}"/>
    <cellStyle name="Normal 7" xfId="99" xr:uid="{00000000-0005-0000-0000-0000BF000000}"/>
    <cellStyle name="Normal 8" xfId="113" xr:uid="{00000000-0005-0000-0000-0000C0000000}"/>
    <cellStyle name="Normal 9" xfId="127" xr:uid="{00000000-0005-0000-0000-0000C1000000}"/>
    <cellStyle name="Note 10" xfId="142" xr:uid="{00000000-0005-0000-0000-0000C2000000}"/>
    <cellStyle name="Note 11" xfId="156" xr:uid="{00000000-0005-0000-0000-0000C3000000}"/>
    <cellStyle name="Note 12" xfId="170" xr:uid="{00000000-0005-0000-0000-0000C4000000}"/>
    <cellStyle name="Note 13" xfId="184" xr:uid="{00000000-0005-0000-0000-0000C5000000}"/>
    <cellStyle name="Note 14" xfId="198" xr:uid="{00000000-0005-0000-0000-0000C6000000}"/>
    <cellStyle name="Note 2" xfId="42" xr:uid="{00000000-0005-0000-0000-0000C7000000}"/>
    <cellStyle name="Note 3" xfId="44" xr:uid="{00000000-0005-0000-0000-0000C8000000}"/>
    <cellStyle name="Note 4" xfId="58" xr:uid="{00000000-0005-0000-0000-0000C9000000}"/>
    <cellStyle name="Note 5" xfId="72" xr:uid="{00000000-0005-0000-0000-0000CA000000}"/>
    <cellStyle name="Note 6" xfId="86" xr:uid="{00000000-0005-0000-0000-0000CB000000}"/>
    <cellStyle name="Note 7" xfId="100" xr:uid="{00000000-0005-0000-0000-0000CC000000}"/>
    <cellStyle name="Note 8" xfId="114" xr:uid="{00000000-0005-0000-0000-0000CD000000}"/>
    <cellStyle name="Note 9" xfId="128" xr:uid="{00000000-0005-0000-0000-0000CE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R98"/>
  <sheetViews>
    <sheetView tabSelected="1" showWhiteSpace="0" view="pageLayout" topLeftCell="A27" zoomScale="84" zoomScaleNormal="100" zoomScalePageLayoutView="84" workbookViewId="0">
      <selection activeCell="E3" sqref="E3:E47"/>
    </sheetView>
  </sheetViews>
  <sheetFormatPr defaultColWidth="8.90625" defaultRowHeight="13.2"/>
  <cols>
    <col min="1" max="1" width="25.90625" style="1" customWidth="1"/>
    <col min="2" max="2" width="1.81640625" style="1" customWidth="1"/>
    <col min="3" max="3" width="17.453125" style="7" customWidth="1"/>
    <col min="4" max="4" width="1.81640625" style="1" customWidth="1"/>
    <col min="5" max="5" width="15.54296875" style="1" customWidth="1"/>
    <col min="6" max="6" width="1.81640625" style="1" customWidth="1"/>
    <col min="7" max="7" width="17.54296875" style="5" customWidth="1"/>
    <col min="8" max="16384" width="8.90625" style="1"/>
  </cols>
  <sheetData>
    <row r="1" spans="1:18" ht="41.25" customHeight="1">
      <c r="A1" s="13" t="str">
        <f ca="1">"OWLSnet MyPC Statistics - " &amp; TEXT(NOW()-15-DAY(NOW()),"mmmm yyyy")</f>
        <v>OWLSnet MyPC Statistics - October 2023</v>
      </c>
      <c r="B1" s="13"/>
      <c r="E1"/>
      <c r="F1"/>
    </row>
    <row r="2" spans="1:18" s="19" customFormat="1" ht="34.5" customHeight="1">
      <c r="A2" s="14" t="s">
        <v>0</v>
      </c>
      <c r="B2" s="15"/>
      <c r="C2" s="16" t="s">
        <v>1</v>
      </c>
      <c r="D2" s="17"/>
      <c r="E2" s="17" t="s">
        <v>2</v>
      </c>
      <c r="F2" s="17"/>
      <c r="G2" s="18" t="s">
        <v>3</v>
      </c>
    </row>
    <row r="3" spans="1:18" s="23" customFormat="1" ht="19.5" customHeight="1">
      <c r="A3" s="20" t="s">
        <v>4</v>
      </c>
      <c r="B3" s="20"/>
      <c r="C3" s="21">
        <f>VLOOKUP(A3,Minutes!$A$1:$H$55,5,FALSE)</f>
        <v>4682.1166666666668</v>
      </c>
      <c r="D3" s="21"/>
      <c r="E3" s="21">
        <f>VLOOKUP(A3,Sessions!$A$1:$D$56,2,FALSE)</f>
        <v>114</v>
      </c>
      <c r="F3" s="21"/>
      <c r="G3" s="22">
        <f>C3/E3</f>
        <v>41.071198830409358</v>
      </c>
    </row>
    <row r="4" spans="1:18" s="27" customFormat="1" ht="19.5" customHeight="1">
      <c r="A4" s="24" t="s">
        <v>5</v>
      </c>
      <c r="B4" s="24"/>
      <c r="C4" s="25">
        <f>VLOOKUP(A4,Minutes!$A$1:$H$55,5,FALSE)</f>
        <v>1356.8833333333334</v>
      </c>
      <c r="D4" s="26"/>
      <c r="E4" s="25">
        <f>VLOOKUP(A4,Sessions!$A$1:$D$56,2,FALSE)</f>
        <v>54</v>
      </c>
      <c r="F4" s="26"/>
      <c r="G4" s="26">
        <f t="shared" ref="G4:G47" si="0">C4/E4</f>
        <v>25.127469135802471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23" customFormat="1" ht="18.75" customHeight="1">
      <c r="A5" s="20" t="s">
        <v>6</v>
      </c>
      <c r="B5" s="20"/>
      <c r="C5" s="21">
        <f>VLOOKUP(A5,Minutes!$A$1:$H$55,5,FALSE)</f>
        <v>4971.2666666666664</v>
      </c>
      <c r="D5" s="21"/>
      <c r="E5" s="21">
        <f>VLOOKUP(A5,Sessions!$A$1:$D$56,2,FALSE)</f>
        <v>131</v>
      </c>
      <c r="F5" s="21"/>
      <c r="G5" s="22">
        <f t="shared" si="0"/>
        <v>37.948600508905848</v>
      </c>
    </row>
    <row r="6" spans="1:18" s="27" customFormat="1" ht="20.25" customHeight="1">
      <c r="A6" s="24" t="s">
        <v>7</v>
      </c>
      <c r="B6" s="24"/>
      <c r="C6" s="25">
        <f>VLOOKUP(A6,Minutes!$A$1:$H$55,5,FALSE)</f>
        <v>586.01666666666665</v>
      </c>
      <c r="D6" s="26"/>
      <c r="E6" s="25">
        <f>VLOOKUP(A6,Sessions!$A$1:$D$56,2,FALSE)</f>
        <v>26</v>
      </c>
      <c r="F6" s="26"/>
      <c r="G6" s="26">
        <f t="shared" si="0"/>
        <v>22.539102564102564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s="27" customFormat="1" ht="20.25" customHeight="1">
      <c r="A7" s="20" t="s">
        <v>8</v>
      </c>
      <c r="B7" s="20"/>
      <c r="C7" s="21">
        <f>VLOOKUP(A7,Minutes!$A$1:$H$55,5,FALSE)</f>
        <v>1860.0333333333335</v>
      </c>
      <c r="D7" s="22"/>
      <c r="E7" s="21">
        <f>VLOOKUP(A7,Sessions!$A$1:$D$56,2,FALSE)</f>
        <v>65</v>
      </c>
      <c r="F7" s="22"/>
      <c r="G7" s="22">
        <f>C7/E7</f>
        <v>28.615897435897438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s="28" customFormat="1" ht="20.25" customHeight="1">
      <c r="A8" s="24" t="s">
        <v>9</v>
      </c>
      <c r="B8" s="24"/>
      <c r="C8" s="25">
        <f>VLOOKUP(A8,Minutes!$A$1:$H$55,5,FALSE)</f>
        <v>183</v>
      </c>
      <c r="D8" s="26"/>
      <c r="E8" s="25">
        <f>VLOOKUP(A8,Sessions!$A$1:$D$56,2,FALSE)</f>
        <v>7</v>
      </c>
      <c r="F8" s="26"/>
      <c r="G8" s="26">
        <f t="shared" si="0"/>
        <v>26.142857142857142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s="23" customFormat="1" ht="18" customHeight="1">
      <c r="A9" s="20" t="s">
        <v>10</v>
      </c>
      <c r="B9" s="20"/>
      <c r="C9" s="21">
        <f>VLOOKUP(A9,Minutes!$A$1:$H$55,5,FALSE)</f>
        <v>245.43333333333334</v>
      </c>
      <c r="D9" s="21"/>
      <c r="E9" s="21">
        <f>VLOOKUP(A9,Sessions!$A$1:$D$56,2,FALSE)</f>
        <v>12</v>
      </c>
      <c r="F9" s="21"/>
      <c r="G9" s="22">
        <f t="shared" si="0"/>
        <v>20.452777777777779</v>
      </c>
    </row>
    <row r="10" spans="1:18" s="27" customFormat="1" ht="18" customHeight="1">
      <c r="A10" s="24" t="s">
        <v>11</v>
      </c>
      <c r="B10" s="24"/>
      <c r="C10" s="25">
        <f>VLOOKUP(A10,Minutes!$A$1:$H$55,5,FALSE)</f>
        <v>155.76666666666665</v>
      </c>
      <c r="D10" s="25"/>
      <c r="E10" s="25">
        <f>VLOOKUP(A10,Sessions!$A$1:$D$56,2,FALSE)</f>
        <v>11</v>
      </c>
      <c r="F10" s="25"/>
      <c r="G10" s="26">
        <f t="shared" si="0"/>
        <v>14.160606060606058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s="28" customFormat="1" ht="18" customHeight="1">
      <c r="A11" s="20" t="s">
        <v>12</v>
      </c>
      <c r="B11" s="20"/>
      <c r="C11" s="21">
        <f>VLOOKUP(A11,Minutes!$A$1:$H$55,5,FALSE)</f>
        <v>4445.6499999999996</v>
      </c>
      <c r="D11" s="22"/>
      <c r="E11" s="21">
        <f>VLOOKUP(A11,Sessions!$A$1:$D$56,2,FALSE)</f>
        <v>119</v>
      </c>
      <c r="F11" s="22"/>
      <c r="G11" s="22">
        <f t="shared" si="0"/>
        <v>37.358403361344536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27" customFormat="1" ht="18" customHeight="1">
      <c r="A12" s="24" t="s">
        <v>13</v>
      </c>
      <c r="B12" s="24"/>
      <c r="C12" s="25">
        <f>VLOOKUP(A12,Minutes!$A$1:$H$55,5,FALSE)</f>
        <v>23577.933333333334</v>
      </c>
      <c r="D12" s="25"/>
      <c r="E12" s="25">
        <f>VLOOKUP(A12,Sessions!$A$1:$D$56,2,FALSE)</f>
        <v>578</v>
      </c>
      <c r="F12" s="25"/>
      <c r="G12" s="26">
        <f t="shared" si="0"/>
        <v>40.792272202998845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s="23" customFormat="1" ht="18" customHeight="1">
      <c r="A13" s="20" t="s">
        <v>14</v>
      </c>
      <c r="B13" s="20"/>
      <c r="C13" s="21">
        <f>VLOOKUP(A13,Minutes!$A$1:$H$55,5,FALSE)</f>
        <v>144.95000000000002</v>
      </c>
      <c r="D13" s="21"/>
      <c r="E13" s="21">
        <f>VLOOKUP(A13,Sessions!$A$1:$D$56,2,FALSE)</f>
        <v>9</v>
      </c>
      <c r="F13" s="21"/>
      <c r="G13" s="22">
        <f t="shared" si="0"/>
        <v>16.105555555555558</v>
      </c>
    </row>
    <row r="14" spans="1:18" s="27" customFormat="1" ht="18" customHeight="1">
      <c r="A14" s="24" t="s">
        <v>15</v>
      </c>
      <c r="B14" s="24"/>
      <c r="C14" s="25">
        <f ca="1">VLOOKUP(A14,Minutes!$A$1:$H$55,5,FALSE)</f>
        <v>673.18333333333339</v>
      </c>
      <c r="D14" s="26"/>
      <c r="E14" s="25">
        <f>VLOOKUP(A14,Sessions!$A$1:$D$56,2,FALSE)</f>
        <v>22</v>
      </c>
      <c r="F14" s="26"/>
      <c r="G14" s="26">
        <f t="shared" ca="1" si="0"/>
        <v>30.599242424242426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s="23" customFormat="1" ht="18" customHeight="1">
      <c r="A15" s="20" t="s">
        <v>16</v>
      </c>
      <c r="B15" s="20"/>
      <c r="C15" s="21">
        <f>VLOOKUP(A15,Minutes!$A$1:$H$55,5,FALSE)</f>
        <v>1782.7666666666667</v>
      </c>
      <c r="D15" s="21"/>
      <c r="E15" s="21">
        <f>VLOOKUP(A15,Sessions!$A$1:$D$56,2,FALSE)</f>
        <v>32</v>
      </c>
      <c r="F15" s="21"/>
      <c r="G15" s="22">
        <f t="shared" si="0"/>
        <v>55.711458333333333</v>
      </c>
    </row>
    <row r="16" spans="1:18" s="27" customFormat="1" ht="18" customHeight="1">
      <c r="A16" s="24" t="s">
        <v>17</v>
      </c>
      <c r="B16" s="24"/>
      <c r="C16" s="25">
        <f>VLOOKUP(A16,Minutes!$A$1:$H$55,5,FALSE)</f>
        <v>5293.4833333333336</v>
      </c>
      <c r="D16" s="26"/>
      <c r="E16" s="25">
        <f>VLOOKUP(A16,Sessions!$A$1:$D$56,2,FALSE)</f>
        <v>111</v>
      </c>
      <c r="F16" s="26"/>
      <c r="G16" s="26">
        <f t="shared" si="0"/>
        <v>47.689039039039038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s="23" customFormat="1" ht="18" customHeight="1">
      <c r="A17" s="20" t="s">
        <v>18</v>
      </c>
      <c r="B17" s="20"/>
      <c r="C17" s="21">
        <f>VLOOKUP(A17,Minutes!$A$1:$H$55,5,FALSE)</f>
        <v>2551.9333333333334</v>
      </c>
      <c r="D17" s="21"/>
      <c r="E17" s="21">
        <f>VLOOKUP(A17,Sessions!$A$1:$D$56,2,FALSE)</f>
        <v>77</v>
      </c>
      <c r="F17" s="21"/>
      <c r="G17" s="22">
        <f t="shared" si="0"/>
        <v>33.141991341991343</v>
      </c>
    </row>
    <row r="18" spans="1:18" s="27" customFormat="1" ht="18" customHeight="1">
      <c r="A18" s="24" t="s">
        <v>19</v>
      </c>
      <c r="B18" s="24"/>
      <c r="C18" s="25">
        <f>VLOOKUP(A18,Minutes!$A$1:$H$55,5,FALSE)</f>
        <v>12565.766666666666</v>
      </c>
      <c r="D18" s="26"/>
      <c r="E18" s="25">
        <f>VLOOKUP(A18,Sessions!$A$1:$D$56,2,FALSE)</f>
        <v>202</v>
      </c>
      <c r="F18" s="26"/>
      <c r="G18" s="26">
        <f t="shared" si="0"/>
        <v>62.206765676567656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s="23" customFormat="1" ht="18" customHeight="1">
      <c r="A19" s="20" t="s">
        <v>20</v>
      </c>
      <c r="B19" s="20"/>
      <c r="C19" s="21">
        <f>VLOOKUP(A19,Minutes!$A$1:$H$55,5,FALSE)</f>
        <v>16509.550000000003</v>
      </c>
      <c r="D19" s="21"/>
      <c r="E19" s="21">
        <f>VLOOKUP(A19,Sessions!$A$1:$D$56,2,FALSE)</f>
        <v>354</v>
      </c>
      <c r="F19" s="21"/>
      <c r="G19" s="22">
        <f t="shared" si="0"/>
        <v>46.637146892655373</v>
      </c>
    </row>
    <row r="20" spans="1:18" s="27" customFormat="1" ht="18" customHeight="1">
      <c r="A20" s="24" t="s">
        <v>21</v>
      </c>
      <c r="B20" s="24"/>
      <c r="C20" s="25">
        <f>VLOOKUP(A20,Minutes!$A$1:$H$55,5,FALSE)</f>
        <v>4675</v>
      </c>
      <c r="D20" s="26"/>
      <c r="E20" s="25">
        <f>VLOOKUP(A20,Sessions!$A$1:$D$56,2,FALSE)</f>
        <v>129</v>
      </c>
      <c r="F20" s="26"/>
      <c r="G20" s="26">
        <f t="shared" si="0"/>
        <v>36.240310077519382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s="23" customFormat="1" ht="18" customHeight="1">
      <c r="A21" s="20" t="s">
        <v>22</v>
      </c>
      <c r="B21" s="20"/>
      <c r="C21" s="21">
        <f>VLOOKUP(A21,Minutes!$A$1:$H$55,5,FALSE)</f>
        <v>10858.783333333333</v>
      </c>
      <c r="D21" s="21"/>
      <c r="E21" s="21">
        <f>VLOOKUP(A21,Sessions!$A$1:$D$56,2,FALSE)</f>
        <v>276</v>
      </c>
      <c r="F21" s="21"/>
      <c r="G21" s="22">
        <f t="shared" si="0"/>
        <v>39.343417874396131</v>
      </c>
    </row>
    <row r="22" spans="1:18" s="27" customFormat="1" ht="18" customHeight="1">
      <c r="A22" s="24" t="s">
        <v>23</v>
      </c>
      <c r="B22" s="24"/>
      <c r="C22" s="25">
        <f>VLOOKUP(A22,Minutes!$A$1:$H$55,5,FALSE)</f>
        <v>8147.35</v>
      </c>
      <c r="D22" s="26"/>
      <c r="E22" s="25">
        <f>VLOOKUP(A22,Sessions!$A$1:$D$56,2,FALSE)</f>
        <v>228</v>
      </c>
      <c r="F22" s="26"/>
      <c r="G22" s="26">
        <f t="shared" si="0"/>
        <v>35.733991228070174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s="23" customFormat="1" ht="18" customHeight="1">
      <c r="A23" s="20" t="s">
        <v>24</v>
      </c>
      <c r="B23" s="20"/>
      <c r="C23" s="21">
        <f>VLOOKUP(A23,Minutes!$A$1:$H$55,5,FALSE)</f>
        <v>5247.15</v>
      </c>
      <c r="D23" s="21"/>
      <c r="E23" s="21">
        <f>VLOOKUP(A23,Sessions!$A$1:$D$56,2,FALSE)</f>
        <v>115</v>
      </c>
      <c r="F23" s="21"/>
      <c r="G23" s="22">
        <f t="shared" si="0"/>
        <v>45.627391304347825</v>
      </c>
    </row>
    <row r="24" spans="1:18" s="27" customFormat="1" ht="18" customHeight="1">
      <c r="A24" s="24" t="s">
        <v>25</v>
      </c>
      <c r="B24" s="24"/>
      <c r="C24" s="25">
        <f>VLOOKUP(A24,Minutes!$A$1:$H$55,5,FALSE)</f>
        <v>1694.5</v>
      </c>
      <c r="D24" s="26"/>
      <c r="E24" s="25">
        <f>VLOOKUP(A24,Sessions!$A$1:$D$56,2,FALSE)</f>
        <v>33</v>
      </c>
      <c r="F24" s="26"/>
      <c r="G24" s="26">
        <f t="shared" si="0"/>
        <v>51.348484848484851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s="23" customFormat="1" ht="18" customHeight="1">
      <c r="A25" s="20" t="s">
        <v>26</v>
      </c>
      <c r="B25" s="20"/>
      <c r="C25" s="21">
        <f>VLOOKUP(A25,Minutes!$A$1:$H$55,5,FALSE)</f>
        <v>2994.7333333333331</v>
      </c>
      <c r="D25" s="21"/>
      <c r="E25" s="21">
        <f>VLOOKUP(A25,Sessions!$A$1:$D$56,2,FALSE)</f>
        <v>65</v>
      </c>
      <c r="F25" s="21"/>
      <c r="G25" s="22">
        <f t="shared" si="0"/>
        <v>46.072820512820506</v>
      </c>
    </row>
    <row r="26" spans="1:18" s="27" customFormat="1" ht="18" customHeight="1">
      <c r="A26" s="24" t="s">
        <v>27</v>
      </c>
      <c r="B26" s="24"/>
      <c r="C26" s="25">
        <f>VLOOKUP(A26,Minutes!$A$1:$H$55,5,FALSE)</f>
        <v>587.56666666666661</v>
      </c>
      <c r="D26" s="26"/>
      <c r="E26" s="25">
        <f>VLOOKUP(A26,Sessions!$A$1:$D$56,2,FALSE)</f>
        <v>25</v>
      </c>
      <c r="F26" s="26"/>
      <c r="G26" s="26">
        <f t="shared" si="0"/>
        <v>23.502666666666663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s="23" customFormat="1" ht="18" customHeight="1">
      <c r="A27" s="20" t="s">
        <v>28</v>
      </c>
      <c r="B27" s="20"/>
      <c r="C27" s="21">
        <f>VLOOKUP(A27,Minutes!$A$1:$H$55,5,FALSE)</f>
        <v>1842.5833333333333</v>
      </c>
      <c r="D27" s="21"/>
      <c r="E27" s="21">
        <f>VLOOKUP(A27,Sessions!$A$1:$D$56,2,FALSE)</f>
        <v>51</v>
      </c>
      <c r="F27" s="21"/>
      <c r="G27" s="22">
        <f t="shared" si="0"/>
        <v>36.12908496732026</v>
      </c>
    </row>
    <row r="28" spans="1:18" s="27" customFormat="1" ht="18" customHeight="1">
      <c r="A28" s="24" t="s">
        <v>29</v>
      </c>
      <c r="B28" s="24"/>
      <c r="C28" s="25">
        <f>VLOOKUP(A28,Minutes!$A$1:$H$55,5,FALSE)</f>
        <v>12647.416666666666</v>
      </c>
      <c r="D28" s="26"/>
      <c r="E28" s="25">
        <f>VLOOKUP(A28,Sessions!$A$1:$D$56,2,FALSE)</f>
        <v>288</v>
      </c>
      <c r="F28" s="26"/>
      <c r="G28" s="26">
        <f t="shared" si="0"/>
        <v>43.914641203703702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s="23" customFormat="1" ht="18" customHeight="1">
      <c r="A29" s="20" t="s">
        <v>30</v>
      </c>
      <c r="B29" s="20"/>
      <c r="C29" s="21">
        <f>VLOOKUP(A29,Minutes!$A$1:$H$55,5,FALSE)</f>
        <v>650.70000000000005</v>
      </c>
      <c r="D29" s="21"/>
      <c r="E29" s="21">
        <f>VLOOKUP(A29,Sessions!$A$1:$D$56,2,FALSE)</f>
        <v>10</v>
      </c>
      <c r="F29" s="21"/>
      <c r="G29" s="22">
        <f t="shared" si="0"/>
        <v>65.070000000000007</v>
      </c>
    </row>
    <row r="30" spans="1:18" s="27" customFormat="1" ht="18" customHeight="1">
      <c r="A30" s="24" t="s">
        <v>31</v>
      </c>
      <c r="B30" s="24"/>
      <c r="C30" s="25">
        <f>VLOOKUP(A30,Minutes!$A$1:$H$55,5,FALSE)</f>
        <v>1622.3666666666668</v>
      </c>
      <c r="D30" s="26"/>
      <c r="E30" s="25">
        <f>VLOOKUP(A30,Sessions!$A$1:$D$56,2,FALSE)</f>
        <v>42</v>
      </c>
      <c r="F30" s="26"/>
      <c r="G30" s="26">
        <f t="shared" si="0"/>
        <v>38.62777777777778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s="23" customFormat="1" ht="18" customHeight="1">
      <c r="A31" s="20" t="s">
        <v>32</v>
      </c>
      <c r="B31" s="20"/>
      <c r="C31" s="21">
        <f>VLOOKUP(A31,Minutes!$A$1:$H$55,5,FALSE)</f>
        <v>1713.2666666666667</v>
      </c>
      <c r="D31" s="21"/>
      <c r="E31" s="21">
        <f>VLOOKUP(A31,Sessions!$A$1:$D$56,2,FALSE)</f>
        <v>52</v>
      </c>
      <c r="F31" s="21"/>
      <c r="G31" s="22">
        <f t="shared" si="0"/>
        <v>32.947435897435895</v>
      </c>
    </row>
    <row r="32" spans="1:18" s="27" customFormat="1" ht="18" customHeight="1">
      <c r="A32" s="24" t="s">
        <v>33</v>
      </c>
      <c r="B32" s="24"/>
      <c r="C32" s="25">
        <f>VLOOKUP(A32,Minutes!$A$1:$H$55,5,FALSE)</f>
        <v>1626.6166666666666</v>
      </c>
      <c r="D32" s="26"/>
      <c r="E32" s="25">
        <f>VLOOKUP(A32,Sessions!$A$1:$D$56,2,FALSE)</f>
        <v>46</v>
      </c>
      <c r="F32" s="26"/>
      <c r="G32" s="26">
        <f t="shared" si="0"/>
        <v>35.361231884057972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23" customFormat="1" ht="18" customHeight="1">
      <c r="A33" s="20" t="s">
        <v>34</v>
      </c>
      <c r="B33" s="20"/>
      <c r="C33" s="21">
        <f>VLOOKUP(A33,Minutes!$A$1:$H$55,5,FALSE)</f>
        <v>7541.15</v>
      </c>
      <c r="D33" s="21"/>
      <c r="E33" s="21">
        <f>VLOOKUP(A33,Sessions!$A$1:$D$56,2,FALSE)</f>
        <v>155</v>
      </c>
      <c r="F33" s="21"/>
      <c r="G33" s="22">
        <f t="shared" si="0"/>
        <v>48.652580645161287</v>
      </c>
    </row>
    <row r="34" spans="1:18" s="27" customFormat="1" ht="18" customHeight="1">
      <c r="A34" s="24" t="s">
        <v>35</v>
      </c>
      <c r="B34" s="24"/>
      <c r="C34" s="25">
        <f>VLOOKUP(A34,Minutes!$A$1:$H$55,5,FALSE)</f>
        <v>6469.6</v>
      </c>
      <c r="D34" s="26"/>
      <c r="E34" s="25">
        <f>VLOOKUP(A34,Sessions!$A$1:$D$56,2,FALSE)</f>
        <v>159</v>
      </c>
      <c r="F34" s="26"/>
      <c r="G34" s="26">
        <f t="shared" si="0"/>
        <v>40.689308176100631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s="23" customFormat="1" ht="18" customHeight="1">
      <c r="A35" s="20" t="s">
        <v>36</v>
      </c>
      <c r="B35" s="20"/>
      <c r="C35" s="21">
        <f>VLOOKUP(A35,Minutes!$A$1:$H$55,5,FALSE)</f>
        <v>865.15</v>
      </c>
      <c r="D35" s="21"/>
      <c r="E35" s="21">
        <f>VLOOKUP(A35,Sessions!$A$1:$D$56,2,FALSE)</f>
        <v>29</v>
      </c>
      <c r="F35" s="21"/>
      <c r="G35" s="22">
        <f t="shared" si="0"/>
        <v>29.832758620689653</v>
      </c>
    </row>
    <row r="36" spans="1:18" s="27" customFormat="1" ht="18" customHeight="1">
      <c r="A36" s="24" t="s">
        <v>37</v>
      </c>
      <c r="B36" s="24"/>
      <c r="C36" s="25">
        <f>VLOOKUP(A36,Minutes!$A$1:$H$55,5,FALSE)</f>
        <v>2738.0166666666664</v>
      </c>
      <c r="D36" s="26"/>
      <c r="E36" s="25">
        <f>VLOOKUP(A36,Sessions!$A$1:$D$56,2,FALSE)</f>
        <v>90</v>
      </c>
      <c r="F36" s="26"/>
      <c r="G36" s="26">
        <f t="shared" si="0"/>
        <v>30.422407407407405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s="23" customFormat="1" ht="18" customHeight="1">
      <c r="A37" s="20" t="s">
        <v>38</v>
      </c>
      <c r="B37" s="20"/>
      <c r="C37" s="21">
        <f>VLOOKUP(A37,Minutes!$A$1:$H$55,5,FALSE)</f>
        <v>0</v>
      </c>
      <c r="D37" s="21"/>
      <c r="E37" s="21">
        <f>VLOOKUP(A37,Sessions!$A$1:$D$56,2,FALSE)</f>
        <v>0</v>
      </c>
      <c r="F37" s="21"/>
      <c r="G37" s="22">
        <v>0</v>
      </c>
    </row>
    <row r="38" spans="1:18" s="27" customFormat="1" ht="18" customHeight="1">
      <c r="A38" s="24" t="s">
        <v>39</v>
      </c>
      <c r="B38" s="24"/>
      <c r="C38" s="25">
        <f>VLOOKUP(A38,Minutes!$A$1:$H$55,5,FALSE)</f>
        <v>7591.5666666666666</v>
      </c>
      <c r="D38" s="26"/>
      <c r="E38" s="25">
        <f>VLOOKUP(A38,Sessions!$A$1:$D$56,2,FALSE)</f>
        <v>158</v>
      </c>
      <c r="F38" s="26"/>
      <c r="G38" s="26">
        <f t="shared" si="0"/>
        <v>48.047890295358648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s="28" customFormat="1" ht="18" customHeight="1">
      <c r="A39" s="20" t="s">
        <v>40</v>
      </c>
      <c r="B39" s="20"/>
      <c r="C39" s="21">
        <f>VLOOKUP(A39,Minutes!$A$1:$H$55,5,FALSE)</f>
        <v>509.81666666666672</v>
      </c>
      <c r="D39" s="21"/>
      <c r="E39" s="21">
        <f>VLOOKUP(A39,Sessions!$A$1:$D$56,2,FALSE)</f>
        <v>16</v>
      </c>
      <c r="F39" s="21"/>
      <c r="G39" s="22">
        <f t="shared" si="0"/>
        <v>31.86354166666667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s="27" customFormat="1" ht="18" customHeight="1">
      <c r="A40" s="24" t="s">
        <v>41</v>
      </c>
      <c r="B40" s="24"/>
      <c r="C40" s="25">
        <f>VLOOKUP(A40,Minutes!$A$1:$H$55,5,FALSE)</f>
        <v>0</v>
      </c>
      <c r="D40" s="26"/>
      <c r="E40" s="25">
        <f>VLOOKUP(A40,Sessions!$A$1:$D$56,2,FALSE)</f>
        <v>0</v>
      </c>
      <c r="F40" s="26"/>
      <c r="G40" s="26">
        <v>0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s="28" customFormat="1" ht="18" customHeight="1">
      <c r="A41" s="20" t="s">
        <v>42</v>
      </c>
      <c r="B41" s="20"/>
      <c r="C41" s="21">
        <f>VLOOKUP(A41,Minutes!$A$1:$H$55,5,FALSE)</f>
        <v>19844.133333333335</v>
      </c>
      <c r="D41" s="21"/>
      <c r="E41" s="21">
        <f>VLOOKUP(A41,Sessions!$A$1:$D$56,2,FALSE)</f>
        <v>455</v>
      </c>
      <c r="F41" s="21"/>
      <c r="G41" s="22">
        <f t="shared" si="0"/>
        <v>43.613479853479859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s="27" customFormat="1" ht="18" customHeight="1">
      <c r="A42" s="24" t="s">
        <v>43</v>
      </c>
      <c r="B42" s="24"/>
      <c r="C42" s="25">
        <f>VLOOKUP(A42,Minutes!$A$1:$H$55,5,FALSE)</f>
        <v>5179.0166666666664</v>
      </c>
      <c r="D42" s="26"/>
      <c r="E42" s="25">
        <f>VLOOKUP(A42,Sessions!$A$1:$D$56,2,FALSE)</f>
        <v>69</v>
      </c>
      <c r="F42" s="26"/>
      <c r="G42" s="26">
        <f t="shared" si="0"/>
        <v>75.058212560386465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s="23" customFormat="1" ht="18" customHeight="1">
      <c r="A43" s="20" t="s">
        <v>44</v>
      </c>
      <c r="B43" s="20"/>
      <c r="C43" s="21">
        <f>VLOOKUP(A43,Minutes!$A$1:$H$55,5,FALSE)</f>
        <v>798.11666666666667</v>
      </c>
      <c r="D43" s="21"/>
      <c r="E43" s="21">
        <f>VLOOKUP(A43,Sessions!$A$1:$D$56,2,FALSE)</f>
        <v>13</v>
      </c>
      <c r="F43" s="21"/>
      <c r="G43" s="22">
        <f t="shared" si="0"/>
        <v>61.393589743589743</v>
      </c>
    </row>
    <row r="44" spans="1:18" s="27" customFormat="1" ht="18" customHeight="1">
      <c r="A44" s="24" t="s">
        <v>45</v>
      </c>
      <c r="B44" s="24"/>
      <c r="C44" s="25">
        <f>VLOOKUP(A44,Minutes!$A$1:$H$55,5,FALSE)</f>
        <v>274.05</v>
      </c>
      <c r="D44" s="26"/>
      <c r="E44" s="25">
        <f>VLOOKUP(A44,Sessions!$A$1:$D$56,2,FALSE)</f>
        <v>8</v>
      </c>
      <c r="F44" s="26"/>
      <c r="G44" s="26">
        <f t="shared" si="0"/>
        <v>34.256250000000001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s="23" customFormat="1" ht="18" customHeight="1">
      <c r="A45" s="20" t="s">
        <v>46</v>
      </c>
      <c r="B45" s="20"/>
      <c r="C45" s="21">
        <f>VLOOKUP(A45,Minutes!$A$1:$H$55,5,FALSE)</f>
        <v>1578.7333333333333</v>
      </c>
      <c r="D45" s="21"/>
      <c r="E45" s="21">
        <f>VLOOKUP(A45,Sessions!$A$1:$D$56,2,FALSE)</f>
        <v>39</v>
      </c>
      <c r="F45" s="21"/>
      <c r="G45" s="22">
        <f t="shared" si="0"/>
        <v>40.480341880341882</v>
      </c>
    </row>
    <row r="46" spans="1:18" s="27" customFormat="1" ht="18" customHeight="1">
      <c r="A46" s="24" t="s">
        <v>47</v>
      </c>
      <c r="B46" s="24"/>
      <c r="C46" s="25">
        <f>VLOOKUP(A46,Minutes!$A$1:$H$55,5,FALSE)</f>
        <v>17477.300000000003</v>
      </c>
      <c r="D46" s="26"/>
      <c r="E46" s="25">
        <f>VLOOKUP(A46,Sessions!$A$1:$D$56,2,FALSE)</f>
        <v>469</v>
      </c>
      <c r="F46" s="26"/>
      <c r="G46" s="26">
        <f t="shared" si="0"/>
        <v>37.265031982942439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s="29" customFormat="1" ht="19.5" customHeight="1">
      <c r="A47" s="20" t="s">
        <v>48</v>
      </c>
      <c r="B47" s="20"/>
      <c r="C47" s="21">
        <f>VLOOKUP(A47,Minutes!$A$1:$H$55,5,FALSE)</f>
        <v>1423.3166666666668</v>
      </c>
      <c r="D47" s="21"/>
      <c r="E47" s="21">
        <f>VLOOKUP(A47,Sessions!$A$1:$D$56,2,FALSE)</f>
        <v>51</v>
      </c>
      <c r="F47" s="21"/>
      <c r="G47" s="22">
        <f t="shared" si="0"/>
        <v>27.908169934640526</v>
      </c>
    </row>
    <row r="48" spans="1:18" s="27" customFormat="1" ht="19.5" customHeight="1">
      <c r="A48" s="30" t="s">
        <v>49</v>
      </c>
      <c r="B48" s="30"/>
      <c r="C48" s="31">
        <f ca="1">SUM(C3:C47)</f>
        <v>208183.73333333337</v>
      </c>
      <c r="D48" s="32"/>
      <c r="E48" s="32">
        <f>SUM(E3:E47)</f>
        <v>4995</v>
      </c>
      <c r="F48" s="32"/>
      <c r="G48" s="32">
        <f ca="1">C48/E48</f>
        <v>41.678425091758434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7" s="23" customFormat="1" ht="15" customHeight="1">
      <c r="A49" s="20"/>
      <c r="B49" s="20"/>
      <c r="C49" s="21"/>
      <c r="D49" s="22"/>
      <c r="E49" s="22"/>
      <c r="F49" s="22"/>
      <c r="G49" s="22"/>
    </row>
    <row r="50" spans="1:7" s="23" customFormat="1" ht="15" customHeight="1">
      <c r="A50" s="20"/>
      <c r="B50" s="20"/>
      <c r="C50" s="21"/>
      <c r="D50" s="21"/>
      <c r="E50" s="21"/>
      <c r="F50" s="21"/>
      <c r="G50" s="22"/>
    </row>
    <row r="51" spans="1:7" s="23" customFormat="1" ht="15" customHeight="1">
      <c r="A51" s="20"/>
      <c r="B51" s="20"/>
      <c r="C51" s="21"/>
      <c r="D51" s="22"/>
      <c r="E51" s="22"/>
      <c r="F51" s="22"/>
      <c r="G51" s="22"/>
    </row>
    <row r="52" spans="1:7" s="23" customFormat="1" ht="15" customHeight="1">
      <c r="A52" s="20"/>
      <c r="B52" s="20"/>
      <c r="C52" s="21"/>
      <c r="D52" s="21"/>
      <c r="E52" s="21"/>
      <c r="F52" s="21"/>
      <c r="G52" s="22"/>
    </row>
    <row r="53" spans="1:7" s="23" customFormat="1" ht="15" customHeight="1">
      <c r="A53" s="20"/>
      <c r="B53" s="20"/>
      <c r="C53" s="21"/>
      <c r="D53" s="22"/>
      <c r="E53" s="22"/>
      <c r="F53" s="22"/>
      <c r="G53" s="22"/>
    </row>
    <row r="54" spans="1:7" s="23" customFormat="1" ht="15" customHeight="1">
      <c r="C54" s="6"/>
      <c r="G54" s="33"/>
    </row>
    <row r="55" spans="1:7" s="23" customFormat="1" ht="15" customHeight="1">
      <c r="C55" s="6"/>
      <c r="G55" s="33"/>
    </row>
    <row r="56" spans="1:7" s="23" customFormat="1" ht="15" customHeight="1">
      <c r="C56" s="6"/>
      <c r="G56" s="33"/>
    </row>
    <row r="57" spans="1:7" s="23" customFormat="1" ht="15" customHeight="1">
      <c r="C57" s="6"/>
      <c r="G57" s="33"/>
    </row>
    <row r="58" spans="1:7" s="23" customFormat="1" ht="15" customHeight="1">
      <c r="C58" s="6"/>
      <c r="G58" s="33"/>
    </row>
    <row r="59" spans="1:7" s="23" customFormat="1" ht="15" customHeight="1">
      <c r="C59" s="6"/>
      <c r="G59" s="33"/>
    </row>
    <row r="60" spans="1:7" s="23" customFormat="1" ht="15" customHeight="1">
      <c r="C60" s="6"/>
      <c r="G60" s="33"/>
    </row>
    <row r="61" spans="1:7" s="23" customFormat="1" ht="15" customHeight="1">
      <c r="C61" s="6"/>
      <c r="G61" s="33"/>
    </row>
    <row r="62" spans="1:7" s="23" customFormat="1" ht="15" customHeight="1">
      <c r="C62" s="6"/>
      <c r="G62" s="33"/>
    </row>
    <row r="63" spans="1:7" s="23" customFormat="1" ht="15" customHeight="1">
      <c r="C63" s="6"/>
      <c r="G63" s="33"/>
    </row>
    <row r="64" spans="1:7" s="23" customFormat="1" ht="15" customHeight="1">
      <c r="C64" s="6"/>
      <c r="G64" s="33"/>
    </row>
    <row r="65" spans="3:7" s="23" customFormat="1" ht="15" customHeight="1">
      <c r="C65" s="6"/>
      <c r="G65" s="33"/>
    </row>
    <row r="66" spans="3:7" s="23" customFormat="1" ht="15" customHeight="1">
      <c r="C66" s="6"/>
      <c r="G66" s="33"/>
    </row>
    <row r="67" spans="3:7" s="23" customFormat="1" ht="15" customHeight="1">
      <c r="C67" s="6"/>
      <c r="G67" s="33"/>
    </row>
    <row r="68" spans="3:7" s="23" customFormat="1" ht="15" customHeight="1">
      <c r="C68" s="6"/>
      <c r="G68" s="33"/>
    </row>
    <row r="69" spans="3:7" s="23" customFormat="1" ht="15" customHeight="1">
      <c r="C69" s="6"/>
      <c r="G69" s="33"/>
    </row>
    <row r="70" spans="3:7" s="23" customFormat="1" ht="15" customHeight="1">
      <c r="C70" s="6"/>
      <c r="G70" s="33"/>
    </row>
    <row r="71" spans="3:7" s="23" customFormat="1" ht="15" customHeight="1">
      <c r="C71" s="6"/>
      <c r="G71" s="33"/>
    </row>
    <row r="72" spans="3:7" s="23" customFormat="1" ht="15" customHeight="1">
      <c r="C72" s="6"/>
      <c r="G72" s="33"/>
    </row>
    <row r="73" spans="3:7" s="23" customFormat="1" ht="15" customHeight="1">
      <c r="C73" s="6"/>
      <c r="G73" s="33"/>
    </row>
    <row r="74" spans="3:7" s="23" customFormat="1" ht="15" customHeight="1">
      <c r="C74" s="6"/>
      <c r="G74" s="33"/>
    </row>
    <row r="75" spans="3:7" s="23" customFormat="1" ht="15" customHeight="1">
      <c r="C75" s="6"/>
      <c r="G75" s="33"/>
    </row>
    <row r="76" spans="3:7" s="23" customFormat="1" ht="15" customHeight="1">
      <c r="C76" s="6"/>
      <c r="G76" s="33"/>
    </row>
    <row r="77" spans="3:7" s="23" customFormat="1" ht="15" customHeight="1">
      <c r="C77" s="6"/>
      <c r="G77" s="33"/>
    </row>
    <row r="78" spans="3:7" s="23" customFormat="1" ht="15" customHeight="1">
      <c r="C78" s="6"/>
      <c r="G78" s="33"/>
    </row>
    <row r="79" spans="3:7" s="23" customFormat="1" ht="15" customHeight="1">
      <c r="C79" s="6"/>
      <c r="G79" s="33"/>
    </row>
    <row r="80" spans="3:7" s="23" customFormat="1" ht="15" customHeight="1">
      <c r="C80" s="6"/>
      <c r="G80" s="33"/>
    </row>
    <row r="81" spans="3:7" s="23" customFormat="1" ht="15" customHeight="1">
      <c r="C81" s="6"/>
      <c r="G81" s="33"/>
    </row>
    <row r="82" spans="3:7" s="23" customFormat="1" ht="15" customHeight="1">
      <c r="C82" s="6"/>
      <c r="G82" s="33"/>
    </row>
    <row r="83" spans="3:7" s="23" customFormat="1" ht="15" customHeight="1">
      <c r="C83" s="6"/>
      <c r="G83" s="33"/>
    </row>
    <row r="84" spans="3:7" s="23" customFormat="1" ht="15" customHeight="1">
      <c r="C84" s="6"/>
      <c r="G84" s="33"/>
    </row>
    <row r="85" spans="3:7" s="23" customFormat="1" ht="15" customHeight="1">
      <c r="C85" s="6"/>
      <c r="G85" s="33"/>
    </row>
    <row r="86" spans="3:7" s="23" customFormat="1" ht="15" customHeight="1">
      <c r="C86" s="6"/>
      <c r="G86" s="33"/>
    </row>
    <row r="87" spans="3:7" s="23" customFormat="1" ht="15" customHeight="1">
      <c r="C87" s="6"/>
      <c r="G87" s="33"/>
    </row>
    <row r="88" spans="3:7" s="23" customFormat="1" ht="15" customHeight="1">
      <c r="C88" s="6"/>
      <c r="G88" s="33"/>
    </row>
    <row r="89" spans="3:7" s="23" customFormat="1" ht="15" customHeight="1">
      <c r="C89" s="6"/>
      <c r="G89" s="33"/>
    </row>
    <row r="90" spans="3:7" s="23" customFormat="1" ht="15" customHeight="1">
      <c r="C90" s="6"/>
      <c r="G90" s="33"/>
    </row>
    <row r="91" spans="3:7" s="23" customFormat="1" ht="15" customHeight="1">
      <c r="C91" s="6"/>
      <c r="G91" s="33"/>
    </row>
    <row r="92" spans="3:7" s="23" customFormat="1" ht="15" customHeight="1">
      <c r="C92" s="6"/>
      <c r="G92" s="33"/>
    </row>
    <row r="93" spans="3:7" s="23" customFormat="1" ht="15" customHeight="1">
      <c r="C93" s="6"/>
      <c r="G93" s="33"/>
    </row>
    <row r="94" spans="3:7" s="23" customFormat="1" ht="15" customHeight="1">
      <c r="C94" s="6"/>
      <c r="G94" s="33"/>
    </row>
    <row r="95" spans="3:7" s="23" customFormat="1" ht="15" customHeight="1">
      <c r="C95" s="6"/>
      <c r="G95" s="33"/>
    </row>
    <row r="96" spans="3:7" s="23" customFormat="1" ht="15" customHeight="1">
      <c r="C96" s="6"/>
      <c r="G96" s="33"/>
    </row>
    <row r="97" spans="3:7" s="23" customFormat="1" ht="15" customHeight="1">
      <c r="C97" s="6"/>
      <c r="G97" s="33"/>
    </row>
    <row r="98" spans="3:7" ht="12.75" customHeight="1"/>
  </sheetData>
  <phoneticPr fontId="14" type="noConversion"/>
  <printOptions horizontalCentered="1"/>
  <pageMargins left="0.45" right="0.32291666666666702" top="0.39" bottom="0.52" header="0.72" footer="0.26"/>
  <pageSetup paperSize="9" scale="79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7"/>
  <sheetViews>
    <sheetView workbookViewId="0">
      <selection activeCell="C1" sqref="C1:D1048576"/>
    </sheetView>
  </sheetViews>
  <sheetFormatPr defaultRowHeight="15"/>
  <cols>
    <col min="1" max="1" width="26.54296875" customWidth="1"/>
    <col min="3" max="3" width="14.54296875" bestFit="1" customWidth="1"/>
    <col min="4" max="4" width="15.81640625" bestFit="1" customWidth="1"/>
    <col min="6" max="6" width="11.81640625" customWidth="1"/>
  </cols>
  <sheetData>
    <row r="1" spans="1:5" ht="15.6">
      <c r="A1" t="s">
        <v>4</v>
      </c>
      <c r="B1" s="34">
        <f>SUMIF(D$1:D$70, "ALG*",C$1:C$70)</f>
        <v>114</v>
      </c>
      <c r="C1" t="s">
        <v>51</v>
      </c>
      <c r="D1" t="s">
        <v>52</v>
      </c>
      <c r="E1" s="9"/>
    </row>
    <row r="2" spans="1:5" ht="15.6">
      <c r="A2" t="s">
        <v>7</v>
      </c>
      <c r="B2" s="34">
        <f>SUMIF(D$1:D$70, "BAI*",C$1:C$70)</f>
        <v>26</v>
      </c>
      <c r="C2">
        <v>531</v>
      </c>
      <c r="D2" t="s">
        <v>53</v>
      </c>
      <c r="E2" s="9"/>
    </row>
    <row r="3" spans="1:5" ht="15.6">
      <c r="A3" t="s">
        <v>5</v>
      </c>
      <c r="B3" s="34">
        <f>SUMIF(D$1:D$70, "BCL*",C$1:C$70)</f>
        <v>54</v>
      </c>
      <c r="C3">
        <v>430</v>
      </c>
      <c r="D3" t="s">
        <v>54</v>
      </c>
      <c r="E3" s="9"/>
    </row>
    <row r="4" spans="1:5" ht="15.6">
      <c r="A4" t="s">
        <v>40</v>
      </c>
      <c r="B4" s="34">
        <f>SUMIF(D$1:D$70, "BON*",C$1:C$70)</f>
        <v>16</v>
      </c>
      <c r="C4">
        <v>419</v>
      </c>
      <c r="D4" t="s">
        <v>55</v>
      </c>
      <c r="E4" s="9"/>
    </row>
    <row r="5" spans="1:5" ht="15.6">
      <c r="A5" t="s">
        <v>27</v>
      </c>
      <c r="B5" s="34">
        <f>SUMIF(D$1:D$70, "COL*",C$1:C$70)</f>
        <v>25</v>
      </c>
      <c r="C5">
        <v>289</v>
      </c>
      <c r="D5" t="s">
        <v>56</v>
      </c>
      <c r="E5" s="9"/>
    </row>
    <row r="6" spans="1:5" ht="15.6">
      <c r="A6" t="s">
        <v>6</v>
      </c>
      <c r="B6" s="34">
        <f>SUMIF(D$1:D$70, "CPL*",C$1:C$70)</f>
        <v>131</v>
      </c>
      <c r="C6">
        <v>202</v>
      </c>
      <c r="D6" t="s">
        <v>57</v>
      </c>
      <c r="E6" s="9"/>
    </row>
    <row r="7" spans="1:5" ht="15.6">
      <c r="B7" s="34"/>
      <c r="C7">
        <v>288</v>
      </c>
      <c r="D7" t="s">
        <v>58</v>
      </c>
      <c r="E7" s="9"/>
    </row>
    <row r="8" spans="1:5" ht="15.6">
      <c r="A8" t="s">
        <v>28</v>
      </c>
      <c r="B8" s="34">
        <f>SUMIF(D$1:D$70, "CRI*",C$1:C$70)</f>
        <v>51</v>
      </c>
      <c r="C8">
        <v>276</v>
      </c>
      <c r="D8" t="s">
        <v>59</v>
      </c>
      <c r="E8" s="9"/>
    </row>
    <row r="9" spans="1:5" ht="15.6">
      <c r="A9" t="s">
        <v>8</v>
      </c>
      <c r="B9" s="34">
        <f>SUMIF(D$1:D$70, "EGG*",C$1:C$70)</f>
        <v>65</v>
      </c>
      <c r="C9">
        <v>90</v>
      </c>
      <c r="D9" t="s">
        <v>60</v>
      </c>
      <c r="E9" s="9"/>
    </row>
    <row r="10" spans="1:5" ht="15.6">
      <c r="B10" s="34"/>
      <c r="C10">
        <v>228</v>
      </c>
      <c r="D10" t="s">
        <v>61</v>
      </c>
      <c r="E10" s="9"/>
    </row>
    <row r="11" spans="1:5" ht="15.6">
      <c r="B11" s="34"/>
      <c r="C11">
        <v>158</v>
      </c>
      <c r="D11" t="s">
        <v>62</v>
      </c>
      <c r="E11" s="9"/>
    </row>
    <row r="12" spans="1:5" ht="15.6">
      <c r="B12" s="34"/>
      <c r="C12">
        <v>155</v>
      </c>
      <c r="D12" t="s">
        <v>63</v>
      </c>
      <c r="E12" s="9"/>
    </row>
    <row r="13" spans="1:5" ht="15.6">
      <c r="A13" t="s">
        <v>9</v>
      </c>
      <c r="B13" s="34">
        <f>SUMIF(D$1:D$70, "EPH*",C$1:C$70)</f>
        <v>7</v>
      </c>
      <c r="C13">
        <v>159</v>
      </c>
      <c r="D13" t="s">
        <v>64</v>
      </c>
      <c r="E13" s="9"/>
    </row>
    <row r="14" spans="1:5" ht="15.6">
      <c r="A14" t="s">
        <v>10</v>
      </c>
      <c r="B14" s="34">
        <f>SUMIF(D$1:D$70, "FIS*",C$1:C$70)</f>
        <v>12</v>
      </c>
      <c r="C14">
        <v>111</v>
      </c>
      <c r="D14" t="s">
        <v>65</v>
      </c>
      <c r="E14" s="9"/>
    </row>
    <row r="15" spans="1:5" ht="15.6">
      <c r="A15" t="s">
        <v>15</v>
      </c>
      <c r="B15" s="34">
        <f>SUMIF(D$1:D$70, "FLO*",C$1:C$70)</f>
        <v>22</v>
      </c>
      <c r="C15">
        <v>115</v>
      </c>
      <c r="D15" t="s">
        <v>66</v>
      </c>
      <c r="E15" s="9"/>
    </row>
    <row r="16" spans="1:5" ht="15.6">
      <c r="A16" t="s">
        <v>11</v>
      </c>
      <c r="B16" s="34">
        <f>SUMIF(D$1:D$70, "FOR*",C$1:C$70)</f>
        <v>11</v>
      </c>
      <c r="C16">
        <v>69</v>
      </c>
      <c r="D16" t="s">
        <v>67</v>
      </c>
      <c r="E16" s="9"/>
    </row>
    <row r="17" spans="1:5" ht="15.6">
      <c r="A17" t="s">
        <v>16</v>
      </c>
      <c r="B17" s="34">
        <f>SUMIF(D$1:D$70, "FPL*",C$1:C$70)</f>
        <v>32</v>
      </c>
      <c r="C17">
        <v>129</v>
      </c>
      <c r="D17" t="s">
        <v>68</v>
      </c>
      <c r="E17" s="9"/>
    </row>
    <row r="18" spans="1:5" ht="15.6">
      <c r="A18" t="s">
        <v>17</v>
      </c>
      <c r="B18" s="34">
        <f>SUMIF(D$1:D$70, "GIL*",C$1:C$70)</f>
        <v>111</v>
      </c>
      <c r="C18">
        <v>119</v>
      </c>
      <c r="D18" t="s">
        <v>69</v>
      </c>
      <c r="E18" s="9"/>
    </row>
    <row r="19" spans="1:5" ht="15.6">
      <c r="A19" t="s">
        <v>18</v>
      </c>
      <c r="B19" s="34">
        <f>SUMIF(D$1:D$70, "HPL*",C$1:C$70)</f>
        <v>77</v>
      </c>
      <c r="C19">
        <v>118</v>
      </c>
      <c r="D19" t="s">
        <v>70</v>
      </c>
      <c r="E19" s="9"/>
    </row>
    <row r="20" spans="1:5" ht="15.6">
      <c r="A20" t="s">
        <v>19</v>
      </c>
      <c r="B20" s="34">
        <f>SUMIF(D$1:D$70, "IVL*",C$1:C$70)</f>
        <v>202</v>
      </c>
      <c r="C20">
        <v>80</v>
      </c>
      <c r="D20" t="s">
        <v>71</v>
      </c>
      <c r="E20" s="9"/>
    </row>
    <row r="21" spans="1:5" ht="15.6">
      <c r="A21" t="s">
        <v>20</v>
      </c>
      <c r="B21" s="34">
        <f>SUMIF(D$1:D$70, "KAU*",C$1:C$70)</f>
        <v>354</v>
      </c>
      <c r="C21">
        <v>65</v>
      </c>
      <c r="D21" t="s">
        <v>72</v>
      </c>
      <c r="E21" s="10"/>
    </row>
    <row r="22" spans="1:5" ht="15.6">
      <c r="B22" s="34"/>
      <c r="C22">
        <v>47</v>
      </c>
      <c r="D22" t="s">
        <v>73</v>
      </c>
      <c r="E22" s="9"/>
    </row>
    <row r="23" spans="1:5" ht="15.6">
      <c r="B23" s="34"/>
      <c r="C23">
        <v>29</v>
      </c>
      <c r="D23" t="s">
        <v>74</v>
      </c>
      <c r="E23" s="9"/>
    </row>
    <row r="24" spans="1:5" ht="15.6">
      <c r="A24" t="s">
        <v>21</v>
      </c>
      <c r="B24" s="34">
        <f>SUMIF(D$1:D$70, "KEW*",C$1:C$70)</f>
        <v>129</v>
      </c>
      <c r="C24">
        <v>77</v>
      </c>
      <c r="D24" t="s">
        <v>75</v>
      </c>
      <c r="E24" s="9"/>
    </row>
    <row r="25" spans="1:5" ht="15.6">
      <c r="A25" t="s">
        <v>22</v>
      </c>
      <c r="B25" s="34">
        <f>SUMIF(D$1:D$70, "KIM*",C$1:C$70)</f>
        <v>276</v>
      </c>
      <c r="C25">
        <v>42</v>
      </c>
      <c r="D25" t="s">
        <v>76</v>
      </c>
      <c r="E25" s="9"/>
    </row>
    <row r="26" spans="1:5" ht="15.6">
      <c r="A26" t="s">
        <v>24</v>
      </c>
      <c r="B26" s="34">
        <f>SUMIF(D$1:D$70, "LAK*",C$1:C$70)</f>
        <v>115</v>
      </c>
      <c r="C26">
        <v>51</v>
      </c>
      <c r="D26" t="s">
        <v>77</v>
      </c>
      <c r="E26" s="9"/>
    </row>
    <row r="27" spans="1:5" ht="15.6">
      <c r="A27" t="s">
        <v>25</v>
      </c>
      <c r="B27" s="34">
        <f>SUMIF(D$1:D$70, "LEN*",C$1:C$70)</f>
        <v>33</v>
      </c>
      <c r="C27">
        <v>32</v>
      </c>
      <c r="D27" t="s">
        <v>78</v>
      </c>
      <c r="E27" s="9"/>
    </row>
    <row r="28" spans="1:5" ht="15.6">
      <c r="A28" t="s">
        <v>23</v>
      </c>
      <c r="B28" s="34">
        <f>SUMIF(D$1:D$70, "LIT*",C$1:C$70)</f>
        <v>228</v>
      </c>
      <c r="C28">
        <v>52</v>
      </c>
      <c r="D28" t="s">
        <v>79</v>
      </c>
      <c r="E28" s="9"/>
    </row>
    <row r="29" spans="1:5" ht="15.6">
      <c r="A29" t="s">
        <v>26</v>
      </c>
      <c r="B29" s="34">
        <f>SUMIF(D$1:D$70, "MAN*",C$1:C$70)</f>
        <v>65</v>
      </c>
      <c r="C29">
        <v>33</v>
      </c>
      <c r="D29" t="s">
        <v>80</v>
      </c>
      <c r="E29" s="9"/>
    </row>
    <row r="30" spans="1:5" ht="15.6">
      <c r="A30" t="s">
        <v>33</v>
      </c>
      <c r="B30" s="34">
        <f>SUMIF(D$1:D$70, "MAR*",C$1:C$70)</f>
        <v>46</v>
      </c>
      <c r="C30">
        <v>46</v>
      </c>
      <c r="D30" t="s">
        <v>81</v>
      </c>
      <c r="E30" s="10"/>
    </row>
    <row r="31" spans="1:5" ht="15.6">
      <c r="A31" t="s">
        <v>41</v>
      </c>
      <c r="B31" s="34">
        <f>SUMIF(D$1:D$70, "MAT*",C$1:C$70)</f>
        <v>0</v>
      </c>
      <c r="C31">
        <v>42</v>
      </c>
      <c r="D31" t="s">
        <v>82</v>
      </c>
      <c r="E31" s="9"/>
    </row>
    <row r="32" spans="1:5" ht="15.6">
      <c r="A32" t="s">
        <v>29</v>
      </c>
      <c r="B32" s="34">
        <f>SUMIF(D$1:D$70, "MRT*",C$1:C$70)</f>
        <v>288</v>
      </c>
      <c r="C32">
        <v>39</v>
      </c>
      <c r="D32" t="s">
        <v>83</v>
      </c>
      <c r="E32" s="9"/>
    </row>
    <row r="33" spans="1:5" ht="15.6">
      <c r="A33" t="s">
        <v>30</v>
      </c>
      <c r="B33" s="34">
        <f>SUMIF(D$1:D$70, "NIA*",C$1:C$70)</f>
        <v>10</v>
      </c>
      <c r="C33">
        <v>51</v>
      </c>
      <c r="D33" t="s">
        <v>84</v>
      </c>
      <c r="E33" s="10"/>
    </row>
    <row r="34" spans="1:5" ht="15.6">
      <c r="A34" t="s">
        <v>35</v>
      </c>
      <c r="B34" s="34">
        <f>SUMIF(D$1:D$70, "OCF*",C$1:C$70)</f>
        <v>159</v>
      </c>
      <c r="C34">
        <v>54</v>
      </c>
      <c r="D34" t="s">
        <v>85</v>
      </c>
      <c r="E34" s="9"/>
    </row>
    <row r="35" spans="1:5" ht="15.6">
      <c r="A35" t="s">
        <v>34</v>
      </c>
      <c r="B35" s="34">
        <f>SUMIF(D$1:D$70, "OCO*",C$1:C$70)</f>
        <v>155</v>
      </c>
      <c r="C35">
        <v>50</v>
      </c>
      <c r="D35" t="s">
        <v>86</v>
      </c>
      <c r="E35" s="9"/>
    </row>
    <row r="36" spans="1:5" ht="15.6">
      <c r="A36" t="s">
        <v>36</v>
      </c>
      <c r="B36" s="34">
        <f>SUMIF(D$1:D$70, "ON2*",C$1:C$70)</f>
        <v>29</v>
      </c>
      <c r="C36">
        <v>23</v>
      </c>
      <c r="D36" t="s">
        <v>87</v>
      </c>
      <c r="E36" s="10"/>
    </row>
    <row r="37" spans="1:5" ht="15.6">
      <c r="A37" t="s">
        <v>37</v>
      </c>
      <c r="B37" s="34">
        <f>SUMIF(D$1:D$70, "ONE*",C$1:C$70)</f>
        <v>90</v>
      </c>
      <c r="C37">
        <v>26</v>
      </c>
      <c r="D37" t="s">
        <v>88</v>
      </c>
      <c r="E37" s="9"/>
    </row>
    <row r="38" spans="1:5" ht="15.6">
      <c r="A38" t="s">
        <v>31</v>
      </c>
      <c r="B38" s="34">
        <f>SUMIF(D$1:D$70, "PES*",C$1:C$70)</f>
        <v>42</v>
      </c>
      <c r="C38">
        <v>34</v>
      </c>
      <c r="D38" t="s">
        <v>89</v>
      </c>
    </row>
    <row r="39" spans="1:5" ht="15.6">
      <c r="B39" s="34"/>
      <c r="C39">
        <v>5</v>
      </c>
      <c r="D39" t="s">
        <v>90</v>
      </c>
    </row>
    <row r="40" spans="1:5" ht="15.6">
      <c r="A40" t="s">
        <v>38</v>
      </c>
      <c r="B40" s="34">
        <f>SUMIF(D$1:D$70, "SCA*",C$1:C$70)</f>
        <v>0</v>
      </c>
      <c r="C40">
        <v>22</v>
      </c>
      <c r="D40" t="s">
        <v>91</v>
      </c>
    </row>
    <row r="41" spans="1:5" ht="15.6">
      <c r="A41" t="s">
        <v>39</v>
      </c>
      <c r="B41" s="34">
        <f>SUMIF(D$1:D$70, "SEY*",C$1:C$70)</f>
        <v>158</v>
      </c>
      <c r="C41">
        <v>13</v>
      </c>
      <c r="D41" t="s">
        <v>92</v>
      </c>
    </row>
    <row r="42" spans="1:5" ht="15.6">
      <c r="A42" t="s">
        <v>42</v>
      </c>
      <c r="B42" s="34">
        <f>SUMIF(D$1:D$70, "SHA*",C$1:C$70)</f>
        <v>455</v>
      </c>
      <c r="C42">
        <v>26</v>
      </c>
      <c r="D42" t="s">
        <v>93</v>
      </c>
    </row>
    <row r="43" spans="1:5" ht="15.6">
      <c r="B43" s="34"/>
      <c r="C43">
        <v>13</v>
      </c>
      <c r="D43" t="s">
        <v>94</v>
      </c>
    </row>
    <row r="44" spans="1:5" ht="15.6">
      <c r="A44" t="s">
        <v>45</v>
      </c>
      <c r="B44" s="34">
        <f>SUMIF(D$1:D$70, "SHI*",C$1:C$70)</f>
        <v>8</v>
      </c>
      <c r="C44">
        <v>16</v>
      </c>
      <c r="D44" t="s">
        <v>95</v>
      </c>
    </row>
    <row r="45" spans="1:5" ht="15.6">
      <c r="A45" t="s">
        <v>12</v>
      </c>
      <c r="B45" s="34">
        <f>SUMIF(D$1:D$70, "SIS*",C$1:C$70)</f>
        <v>119</v>
      </c>
      <c r="C45">
        <v>10</v>
      </c>
      <c r="D45" t="s">
        <v>96</v>
      </c>
    </row>
    <row r="46" spans="1:5" ht="15.6">
      <c r="A46" t="s">
        <v>13</v>
      </c>
      <c r="B46" s="34">
        <f>SUMIF(D$1:D$70, "STR*",C$1:C$70)</f>
        <v>578</v>
      </c>
      <c r="C46">
        <v>25</v>
      </c>
      <c r="D46" t="s">
        <v>97</v>
      </c>
    </row>
    <row r="47" spans="1:5" ht="15.6">
      <c r="B47" s="34"/>
      <c r="C47">
        <v>3</v>
      </c>
      <c r="D47" t="s">
        <v>98</v>
      </c>
    </row>
    <row r="48" spans="1:5" ht="15.6">
      <c r="A48" t="s">
        <v>46</v>
      </c>
      <c r="B48" s="34">
        <f>SUMIF(D$1:D$70, "SUR*",C$1:C$70)</f>
        <v>39</v>
      </c>
      <c r="C48">
        <v>16</v>
      </c>
      <c r="D48" t="s">
        <v>99</v>
      </c>
    </row>
    <row r="49" spans="1:4" ht="15.6">
      <c r="A49" t="s">
        <v>43</v>
      </c>
      <c r="B49" s="34">
        <f>SUMIF(D$1:D$70, "TIG*",C$1:C$70)</f>
        <v>69</v>
      </c>
      <c r="C49">
        <v>25</v>
      </c>
      <c r="D49" t="s">
        <v>100</v>
      </c>
    </row>
    <row r="50" spans="1:4" ht="15.6">
      <c r="A50" t="s">
        <v>32</v>
      </c>
      <c r="B50" s="34">
        <f>SUMIF(D$1:D$70, "WAS*",C$1:C$70)</f>
        <v>52</v>
      </c>
      <c r="C50">
        <v>8</v>
      </c>
      <c r="D50" t="s">
        <v>101</v>
      </c>
    </row>
    <row r="51" spans="1:4" ht="15.6">
      <c r="A51" t="s">
        <v>47</v>
      </c>
      <c r="B51" s="34">
        <f>SUMIF(D$1:D$70, "WAU*",C$1:C$70)</f>
        <v>469</v>
      </c>
      <c r="C51">
        <v>12</v>
      </c>
      <c r="D51" t="s">
        <v>102</v>
      </c>
    </row>
    <row r="52" spans="1:4" ht="15.6">
      <c r="B52" s="34"/>
      <c r="C52">
        <v>8</v>
      </c>
      <c r="D52" t="s">
        <v>103</v>
      </c>
    </row>
    <row r="53" spans="1:4" ht="15.6">
      <c r="B53" s="34"/>
      <c r="C53">
        <v>9</v>
      </c>
      <c r="D53" t="s">
        <v>104</v>
      </c>
    </row>
    <row r="54" spans="1:4" ht="15.6">
      <c r="A54" t="s">
        <v>48</v>
      </c>
      <c r="B54" s="34">
        <f>SUMIF(D$1:D$70, "WEY*",C$1:C$70)</f>
        <v>51</v>
      </c>
      <c r="C54">
        <v>11</v>
      </c>
      <c r="D54" t="s">
        <v>105</v>
      </c>
    </row>
    <row r="55" spans="1:4" ht="15.6">
      <c r="A55" t="s">
        <v>44</v>
      </c>
      <c r="B55" s="34">
        <f>SUMIF(D$1:D$70, "WIT*",C$1:C$70)</f>
        <v>13</v>
      </c>
      <c r="C55">
        <v>7</v>
      </c>
      <c r="D55" t="s">
        <v>106</v>
      </c>
    </row>
    <row r="56" spans="1:4" ht="15.6">
      <c r="A56" t="s">
        <v>14</v>
      </c>
      <c r="B56" s="34">
        <f>SUMIF(D$1:D$70, "WSH*",C$1:C$70)</f>
        <v>9</v>
      </c>
      <c r="C56">
        <v>7</v>
      </c>
      <c r="D56" t="s">
        <v>107</v>
      </c>
    </row>
    <row r="57" spans="1:4" ht="15.6">
      <c r="A57" s="3" t="s">
        <v>50</v>
      </c>
      <c r="B57">
        <f>SUM(B1:B56)</f>
        <v>4995</v>
      </c>
      <c r="C57" t="s">
        <v>108</v>
      </c>
      <c r="D57" t="s">
        <v>109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I65"/>
  <sheetViews>
    <sheetView workbookViewId="0">
      <selection activeCell="C1" sqref="C1:C1048576"/>
    </sheetView>
  </sheetViews>
  <sheetFormatPr defaultRowHeight="15"/>
  <cols>
    <col min="1" max="1" width="35.90625" customWidth="1"/>
    <col min="3" max="3" width="10.36328125" bestFit="1" customWidth="1"/>
    <col min="4" max="4" width="10.36328125" customWidth="1"/>
    <col min="5" max="5" width="10.1796875" style="2" customWidth="1"/>
    <col min="6" max="8" width="10.81640625" style="2" customWidth="1"/>
    <col min="10" max="10" width="8.90625" customWidth="1"/>
  </cols>
  <sheetData>
    <row r="1" spans="1:9" ht="15.6">
      <c r="A1" s="3" t="s">
        <v>4</v>
      </c>
      <c r="B1" t="s">
        <v>53</v>
      </c>
      <c r="C1">
        <v>14</v>
      </c>
      <c r="D1" s="11">
        <v>0.35000000000000003</v>
      </c>
      <c r="E1" s="4">
        <f>SUMIF(B$1:B$70,"ALG*",H$1:H$70)</f>
        <v>4682.1166666666668</v>
      </c>
      <c r="F1" s="2">
        <f>C1*1440</f>
        <v>20160</v>
      </c>
      <c r="G1" s="2">
        <f>D1*1440</f>
        <v>504.00000000000006</v>
      </c>
      <c r="H1" s="2">
        <f>SUM(F1+G1)</f>
        <v>20664</v>
      </c>
    </row>
    <row r="2" spans="1:9" ht="15.6">
      <c r="A2" s="3"/>
      <c r="B2" t="s">
        <v>54</v>
      </c>
      <c r="C2">
        <v>13</v>
      </c>
      <c r="D2" s="11">
        <v>0.44247685185185182</v>
      </c>
      <c r="E2" s="4"/>
      <c r="F2" s="2">
        <f t="shared" ref="F2:F65" si="0">C2*1440</f>
        <v>18720</v>
      </c>
      <c r="G2" s="2">
        <f t="shared" ref="G2:G65" si="1">D2*1440</f>
        <v>637.16666666666663</v>
      </c>
      <c r="H2" s="2">
        <f t="shared" ref="H2:H65" si="2">SUM(F2+G2)</f>
        <v>19357.166666666668</v>
      </c>
    </row>
    <row r="3" spans="1:9" ht="15.6">
      <c r="A3" s="3" t="s">
        <v>7</v>
      </c>
      <c r="B3" t="s">
        <v>55</v>
      </c>
      <c r="C3">
        <v>10</v>
      </c>
      <c r="D3" s="11">
        <v>0.57219907407407411</v>
      </c>
      <c r="E3" s="4">
        <f>SUMIF(B$1:B$70,"BAI*",H$1:H$70)</f>
        <v>586.01666666666665</v>
      </c>
      <c r="F3" s="2">
        <f t="shared" si="0"/>
        <v>14400</v>
      </c>
      <c r="G3" s="2">
        <f t="shared" si="1"/>
        <v>823.9666666666667</v>
      </c>
      <c r="H3" s="2">
        <f t="shared" si="2"/>
        <v>15223.966666666667</v>
      </c>
      <c r="I3" s="8"/>
    </row>
    <row r="4" spans="1:9" ht="15.6">
      <c r="A4" s="3" t="s">
        <v>5</v>
      </c>
      <c r="B4" t="s">
        <v>56</v>
      </c>
      <c r="C4">
        <v>8</v>
      </c>
      <c r="D4" s="11">
        <v>0.9232407407407407</v>
      </c>
      <c r="E4" s="4">
        <f>SUMIF(B$1:B$70,"BCL*",H$1:H$70)</f>
        <v>1356.8833333333334</v>
      </c>
      <c r="F4" s="2">
        <f t="shared" si="0"/>
        <v>11520</v>
      </c>
      <c r="G4" s="2">
        <f t="shared" si="1"/>
        <v>1329.4666666666667</v>
      </c>
      <c r="H4" s="2">
        <f t="shared" si="2"/>
        <v>12849.466666666667</v>
      </c>
    </row>
    <row r="5" spans="1:9" ht="15.6">
      <c r="A5" s="3" t="s">
        <v>40</v>
      </c>
      <c r="B5" t="s">
        <v>57</v>
      </c>
      <c r="C5">
        <v>8</v>
      </c>
      <c r="D5" s="12">
        <v>0.72622685185185187</v>
      </c>
      <c r="E5" s="4">
        <f>SUMIF(B$1:B$70,"BON*",H$1:H$70)</f>
        <v>509.81666666666672</v>
      </c>
      <c r="F5" s="2">
        <f t="shared" si="0"/>
        <v>11520</v>
      </c>
      <c r="G5" s="2">
        <f t="shared" si="1"/>
        <v>1045.7666666666667</v>
      </c>
      <c r="H5" s="2">
        <f t="shared" si="2"/>
        <v>12565.766666666666</v>
      </c>
    </row>
    <row r="6" spans="1:9" ht="15.6">
      <c r="A6" s="3" t="s">
        <v>27</v>
      </c>
      <c r="B6" t="s">
        <v>58</v>
      </c>
      <c r="C6">
        <v>8</v>
      </c>
      <c r="D6" s="11">
        <v>0.78292824074074074</v>
      </c>
      <c r="E6" s="4">
        <f>SUMIF(B$1:B$70,"COL*",H$1:H$70)</f>
        <v>587.56666666666661</v>
      </c>
      <c r="F6" s="2">
        <f t="shared" si="0"/>
        <v>11520</v>
      </c>
      <c r="G6" s="2">
        <f t="shared" si="1"/>
        <v>1127.4166666666667</v>
      </c>
      <c r="H6" s="2">
        <f t="shared" si="2"/>
        <v>12647.416666666666</v>
      </c>
    </row>
    <row r="7" spans="1:9" ht="15.6">
      <c r="A7" s="3"/>
      <c r="B7" t="s">
        <v>59</v>
      </c>
      <c r="C7">
        <v>7</v>
      </c>
      <c r="D7" s="11">
        <v>0.54082175925925924</v>
      </c>
      <c r="E7" s="4"/>
      <c r="F7" s="2">
        <f t="shared" si="0"/>
        <v>10080</v>
      </c>
      <c r="G7" s="2">
        <f t="shared" si="1"/>
        <v>778.7833333333333</v>
      </c>
      <c r="H7" s="2">
        <f t="shared" si="2"/>
        <v>10858.783333333333</v>
      </c>
    </row>
    <row r="8" spans="1:9" ht="15.6">
      <c r="A8" s="3" t="s">
        <v>6</v>
      </c>
      <c r="B8" t="s">
        <v>60</v>
      </c>
      <c r="C8">
        <v>1</v>
      </c>
      <c r="D8" s="11">
        <v>0.90140046296296295</v>
      </c>
      <c r="E8" s="4">
        <f>SUMIF(B$1:B$70,"CPL*",H$1:H70)</f>
        <v>4971.2666666666664</v>
      </c>
      <c r="F8" s="2">
        <f t="shared" si="0"/>
        <v>1440</v>
      </c>
      <c r="G8" s="2">
        <f t="shared" si="1"/>
        <v>1298.0166666666667</v>
      </c>
      <c r="H8" s="2">
        <f t="shared" si="2"/>
        <v>2738.0166666666664</v>
      </c>
    </row>
    <row r="9" spans="1:9" ht="15.6">
      <c r="A9" s="3" t="s">
        <v>28</v>
      </c>
      <c r="B9" t="s">
        <v>61</v>
      </c>
      <c r="C9">
        <v>5</v>
      </c>
      <c r="D9" s="11">
        <v>0.65788194444444448</v>
      </c>
      <c r="E9" s="4">
        <f>SUMIF(B$1:B$70,"CRI*",H$1:H$70)</f>
        <v>1842.5833333333333</v>
      </c>
      <c r="F9" s="2">
        <f t="shared" si="0"/>
        <v>7200</v>
      </c>
      <c r="G9" s="2">
        <f t="shared" si="1"/>
        <v>947.35</v>
      </c>
      <c r="H9" s="2">
        <f t="shared" si="2"/>
        <v>8147.35</v>
      </c>
    </row>
    <row r="10" spans="1:9" ht="15.6">
      <c r="A10" s="3" t="s">
        <v>10</v>
      </c>
      <c r="B10" t="s">
        <v>62</v>
      </c>
      <c r="C10">
        <v>5</v>
      </c>
      <c r="D10" s="11">
        <v>0.2719212962962963</v>
      </c>
      <c r="E10" s="4">
        <f>SUMIF(B$1:B$70,"FIS*",H$1:H$70)</f>
        <v>245.43333333333334</v>
      </c>
      <c r="F10" s="2">
        <f t="shared" si="0"/>
        <v>7200</v>
      </c>
      <c r="G10" s="2">
        <f t="shared" si="1"/>
        <v>391.56666666666666</v>
      </c>
      <c r="H10" s="2">
        <f t="shared" si="2"/>
        <v>7591.5666666666666</v>
      </c>
    </row>
    <row r="11" spans="1:9" ht="15.6">
      <c r="A11" s="3" t="s">
        <v>15</v>
      </c>
      <c r="B11" t="s">
        <v>63</v>
      </c>
      <c r="C11">
        <v>5</v>
      </c>
      <c r="D11" s="11">
        <v>0.2369097222222222</v>
      </c>
      <c r="E11" s="4">
        <f ca="1">SUMIF(B$1:B$570,"FLO*",H$1:H$70)</f>
        <v>673.18333333333339</v>
      </c>
      <c r="F11" s="2">
        <f t="shared" si="0"/>
        <v>7200</v>
      </c>
      <c r="G11" s="2">
        <f t="shared" si="1"/>
        <v>341.15</v>
      </c>
      <c r="H11" s="2">
        <f t="shared" si="2"/>
        <v>7541.15</v>
      </c>
    </row>
    <row r="12" spans="1:9" ht="15.6">
      <c r="A12" s="3" t="s">
        <v>16</v>
      </c>
      <c r="B12" t="s">
        <v>64</v>
      </c>
      <c r="C12">
        <v>4</v>
      </c>
      <c r="D12" s="11">
        <v>0.49277777777777776</v>
      </c>
      <c r="E12" s="4">
        <f>SUMIF(B$1:B$70,"FPL*",H$1:H$70)</f>
        <v>1782.7666666666667</v>
      </c>
      <c r="F12" s="2">
        <f t="shared" si="0"/>
        <v>5760</v>
      </c>
      <c r="G12" s="2">
        <f t="shared" si="1"/>
        <v>709.6</v>
      </c>
      <c r="H12" s="2">
        <f t="shared" si="2"/>
        <v>6469.6</v>
      </c>
    </row>
    <row r="13" spans="1:9" ht="15.6">
      <c r="A13" s="3" t="s">
        <v>17</v>
      </c>
      <c r="B13" t="s">
        <v>65</v>
      </c>
      <c r="C13">
        <v>3</v>
      </c>
      <c r="D13" s="11">
        <v>0.67603009259259261</v>
      </c>
      <c r="E13" s="4">
        <f>SUMIF(B$1:B$70,"GIL*",H$1:H$70)</f>
        <v>5293.4833333333336</v>
      </c>
      <c r="F13" s="2">
        <f t="shared" si="0"/>
        <v>4320</v>
      </c>
      <c r="G13" s="2">
        <f t="shared" si="1"/>
        <v>973.48333333333335</v>
      </c>
      <c r="H13" s="2">
        <f t="shared" si="2"/>
        <v>5293.4833333333336</v>
      </c>
    </row>
    <row r="14" spans="1:9" ht="15.6">
      <c r="A14" s="3" t="s">
        <v>18</v>
      </c>
      <c r="B14" t="s">
        <v>66</v>
      </c>
      <c r="C14">
        <v>3</v>
      </c>
      <c r="D14" s="12">
        <v>0.64385416666666673</v>
      </c>
      <c r="E14" s="4">
        <f>SUMIF(B$1:B$70,"HPL*",H$1:H$70)</f>
        <v>2551.9333333333334</v>
      </c>
      <c r="F14" s="2">
        <f t="shared" si="0"/>
        <v>4320</v>
      </c>
      <c r="G14" s="2">
        <f t="shared" si="1"/>
        <v>927.15000000000009</v>
      </c>
      <c r="H14" s="2">
        <f t="shared" si="2"/>
        <v>5247.15</v>
      </c>
    </row>
    <row r="15" spans="1:9" ht="15.6">
      <c r="A15" s="3" t="s">
        <v>19</v>
      </c>
      <c r="B15" t="s">
        <v>67</v>
      </c>
      <c r="C15">
        <v>3</v>
      </c>
      <c r="D15" s="11">
        <v>0.59653935185185192</v>
      </c>
      <c r="E15" s="4">
        <f>SUMIF(B$1:B$70,"IVL*",H$1:H$70)</f>
        <v>12565.766666666666</v>
      </c>
      <c r="F15" s="2">
        <f t="shared" si="0"/>
        <v>4320</v>
      </c>
      <c r="G15" s="2">
        <f t="shared" si="1"/>
        <v>859.01666666666677</v>
      </c>
      <c r="H15" s="2">
        <f t="shared" si="2"/>
        <v>5179.0166666666664</v>
      </c>
    </row>
    <row r="16" spans="1:9" ht="15.6">
      <c r="A16" s="3"/>
      <c r="B16" t="s">
        <v>68</v>
      </c>
      <c r="C16">
        <v>3</v>
      </c>
      <c r="D16" s="11">
        <v>0.24652777777777779</v>
      </c>
      <c r="E16" s="4"/>
      <c r="F16" s="2">
        <f t="shared" si="0"/>
        <v>4320</v>
      </c>
      <c r="G16" s="2">
        <f t="shared" si="1"/>
        <v>355</v>
      </c>
      <c r="H16" s="2">
        <f t="shared" si="2"/>
        <v>4675</v>
      </c>
    </row>
    <row r="17" spans="1:9">
      <c r="B17" t="s">
        <v>69</v>
      </c>
      <c r="C17">
        <v>3</v>
      </c>
      <c r="D17" s="11">
        <v>8.7256944444444443E-2</v>
      </c>
      <c r="F17" s="2">
        <f t="shared" si="0"/>
        <v>4320</v>
      </c>
      <c r="G17" s="2">
        <f t="shared" si="1"/>
        <v>125.64999999999999</v>
      </c>
      <c r="H17" s="2">
        <f t="shared" si="2"/>
        <v>4445.6499999999996</v>
      </c>
    </row>
    <row r="18" spans="1:9" ht="15.6">
      <c r="A18" s="3" t="s">
        <v>20</v>
      </c>
      <c r="B18" t="s">
        <v>70</v>
      </c>
      <c r="C18">
        <v>2</v>
      </c>
      <c r="D18" s="11">
        <v>0.99113425925925924</v>
      </c>
      <c r="E18" s="4">
        <f>SUMIF(B$1:B$70,"KAU*",H$1:H$70)</f>
        <v>16509.550000000003</v>
      </c>
      <c r="F18" s="2">
        <f t="shared" si="0"/>
        <v>2880</v>
      </c>
      <c r="G18" s="2">
        <f t="shared" si="1"/>
        <v>1427.2333333333333</v>
      </c>
      <c r="H18" s="2">
        <f t="shared" si="2"/>
        <v>4307.2333333333336</v>
      </c>
    </row>
    <row r="19" spans="1:9" ht="15.6">
      <c r="A19" s="3" t="s">
        <v>21</v>
      </c>
      <c r="B19" t="s">
        <v>71</v>
      </c>
      <c r="C19">
        <v>2</v>
      </c>
      <c r="D19" s="11">
        <v>0.68627314814814822</v>
      </c>
      <c r="E19" s="4">
        <f>SUMIF(B$1:B$70,"KEW*",H$1:H$70)</f>
        <v>4675</v>
      </c>
      <c r="F19" s="2">
        <f t="shared" si="0"/>
        <v>2880</v>
      </c>
      <c r="G19" s="2">
        <f t="shared" si="1"/>
        <v>988.23333333333346</v>
      </c>
      <c r="H19" s="2">
        <f t="shared" si="2"/>
        <v>3868.2333333333336</v>
      </c>
    </row>
    <row r="20" spans="1:9" ht="15.6">
      <c r="A20" s="3" t="s">
        <v>22</v>
      </c>
      <c r="B20" t="s">
        <v>72</v>
      </c>
      <c r="C20">
        <v>2</v>
      </c>
      <c r="D20" s="11">
        <v>7.9675925925925928E-2</v>
      </c>
      <c r="E20" s="4">
        <f>SUMIF(B$1:B$70,"KIM*",H$1:H$70)</f>
        <v>10858.783333333333</v>
      </c>
      <c r="F20" s="2">
        <f t="shared" si="0"/>
        <v>2880</v>
      </c>
      <c r="G20" s="2">
        <f t="shared" si="1"/>
        <v>114.73333333333333</v>
      </c>
      <c r="H20" s="2">
        <f t="shared" si="2"/>
        <v>2994.7333333333331</v>
      </c>
    </row>
    <row r="21" spans="1:9" ht="15.6">
      <c r="A21" s="3" t="s">
        <v>24</v>
      </c>
      <c r="B21" t="s">
        <v>73</v>
      </c>
      <c r="C21">
        <v>2</v>
      </c>
      <c r="D21" s="11">
        <v>2.3564814814814813E-2</v>
      </c>
      <c r="E21" s="4">
        <f>SUMIF(B$1:B$70,"LAK*",H$1:H$70)</f>
        <v>5247.15</v>
      </c>
      <c r="F21" s="2">
        <f t="shared" si="0"/>
        <v>2880</v>
      </c>
      <c r="G21" s="2">
        <f t="shared" si="1"/>
        <v>33.93333333333333</v>
      </c>
      <c r="H21" s="2">
        <f t="shared" si="2"/>
        <v>2913.9333333333334</v>
      </c>
    </row>
    <row r="22" spans="1:9" ht="15.6">
      <c r="A22" s="3" t="s">
        <v>25</v>
      </c>
      <c r="B22" t="s">
        <v>74</v>
      </c>
      <c r="C22">
        <v>0</v>
      </c>
      <c r="D22" s="11">
        <v>0.6007986111111111</v>
      </c>
      <c r="E22" s="4">
        <f>SUMIF(B$1:B$70,"LEN*",H$1:H$70)</f>
        <v>1694.5</v>
      </c>
      <c r="F22" s="2">
        <f t="shared" si="0"/>
        <v>0</v>
      </c>
      <c r="G22" s="2">
        <f t="shared" si="1"/>
        <v>865.15</v>
      </c>
      <c r="H22" s="2">
        <f t="shared" si="2"/>
        <v>865.15</v>
      </c>
    </row>
    <row r="23" spans="1:9" ht="15.6">
      <c r="A23" s="3" t="s">
        <v>23</v>
      </c>
      <c r="B23" t="s">
        <v>75</v>
      </c>
      <c r="C23">
        <v>1</v>
      </c>
      <c r="D23" s="11">
        <v>0.77217592592592599</v>
      </c>
      <c r="E23" s="4">
        <f>SUMIF(B$1:B$70,"LIT*",H$1:H$70)</f>
        <v>8147.35</v>
      </c>
      <c r="F23" s="2">
        <f t="shared" si="0"/>
        <v>1440</v>
      </c>
      <c r="G23" s="2">
        <f t="shared" si="1"/>
        <v>1111.9333333333334</v>
      </c>
      <c r="H23" s="2">
        <f t="shared" si="2"/>
        <v>2551.9333333333334</v>
      </c>
    </row>
    <row r="24" spans="1:9" ht="15.6">
      <c r="A24" s="3" t="s">
        <v>26</v>
      </c>
      <c r="B24" t="s">
        <v>76</v>
      </c>
      <c r="C24">
        <v>1</v>
      </c>
      <c r="D24" s="11">
        <v>0.70706018518518521</v>
      </c>
      <c r="E24" s="4">
        <f>SUMIF(B$1:B$70,"MAN*",H$1:H$70)</f>
        <v>2994.7333333333331</v>
      </c>
      <c r="F24" s="2">
        <f t="shared" si="0"/>
        <v>1440</v>
      </c>
      <c r="G24" s="2">
        <f t="shared" si="1"/>
        <v>1018.1666666666667</v>
      </c>
      <c r="H24" s="2">
        <f t="shared" si="2"/>
        <v>2458.166666666667</v>
      </c>
    </row>
    <row r="25" spans="1:9" ht="15.6">
      <c r="A25" s="3" t="s">
        <v>33</v>
      </c>
      <c r="B25" t="s">
        <v>77</v>
      </c>
      <c r="C25">
        <v>1</v>
      </c>
      <c r="D25" s="11">
        <v>0.27957175925925926</v>
      </c>
      <c r="E25" s="4">
        <f>SUMIF(B$1:B$70,"MAR*",H$1:H$70)</f>
        <v>1626.6166666666666</v>
      </c>
      <c r="F25" s="2">
        <f t="shared" si="0"/>
        <v>1440</v>
      </c>
      <c r="G25" s="2">
        <f t="shared" si="1"/>
        <v>402.58333333333331</v>
      </c>
      <c r="H25" s="2">
        <f t="shared" si="2"/>
        <v>1842.5833333333333</v>
      </c>
    </row>
    <row r="26" spans="1:9" ht="15.6">
      <c r="A26" s="3" t="s">
        <v>41</v>
      </c>
      <c r="B26" t="s">
        <v>78</v>
      </c>
      <c r="C26">
        <v>1</v>
      </c>
      <c r="D26" s="11">
        <v>0.23803240740740739</v>
      </c>
      <c r="E26" s="4">
        <f>SUMIF(B$1:B$70,"MAT*",H$1:H$70)</f>
        <v>0</v>
      </c>
      <c r="F26" s="2">
        <f t="shared" si="0"/>
        <v>1440</v>
      </c>
      <c r="G26" s="2">
        <f t="shared" si="1"/>
        <v>342.76666666666665</v>
      </c>
      <c r="H26" s="2">
        <f t="shared" si="2"/>
        <v>1782.7666666666667</v>
      </c>
    </row>
    <row r="27" spans="1:9" ht="15.6">
      <c r="A27" s="3" t="s">
        <v>29</v>
      </c>
      <c r="B27" t="s">
        <v>79</v>
      </c>
      <c r="C27">
        <v>1</v>
      </c>
      <c r="D27" s="11">
        <v>0.1897685185185185</v>
      </c>
      <c r="E27" s="4">
        <f>SUMIF(B$1:B$70,"MRT*",H$1:H$70)</f>
        <v>12647.416666666666</v>
      </c>
      <c r="F27" s="2">
        <f t="shared" si="0"/>
        <v>1440</v>
      </c>
      <c r="G27" s="2">
        <f t="shared" si="1"/>
        <v>273.26666666666665</v>
      </c>
      <c r="H27" s="2">
        <f t="shared" si="2"/>
        <v>1713.2666666666667</v>
      </c>
    </row>
    <row r="28" spans="1:9" ht="15.6">
      <c r="A28" s="3" t="s">
        <v>30</v>
      </c>
      <c r="B28" t="s">
        <v>80</v>
      </c>
      <c r="C28">
        <v>1</v>
      </c>
      <c r="D28" s="11">
        <v>0.17673611111111109</v>
      </c>
      <c r="E28" s="4">
        <f>SUMIF(B$1:B$70,"NIA*",H$1:H$70)</f>
        <v>650.70000000000005</v>
      </c>
      <c r="F28" s="2">
        <f t="shared" si="0"/>
        <v>1440</v>
      </c>
      <c r="G28" s="2">
        <f t="shared" si="1"/>
        <v>254.49999999999997</v>
      </c>
      <c r="H28" s="2">
        <f t="shared" si="2"/>
        <v>1694.5</v>
      </c>
    </row>
    <row r="29" spans="1:9" ht="15.6">
      <c r="A29" s="3" t="s">
        <v>35</v>
      </c>
      <c r="B29" t="s">
        <v>81</v>
      </c>
      <c r="C29">
        <v>1</v>
      </c>
      <c r="D29" s="11">
        <v>0.12959490740740739</v>
      </c>
      <c r="E29" s="4">
        <f>SUMIF(B$1:B$70,"OCF*",H$1:H$70)</f>
        <v>6469.6</v>
      </c>
      <c r="F29" s="2">
        <f t="shared" si="0"/>
        <v>1440</v>
      </c>
      <c r="G29" s="2">
        <f t="shared" si="1"/>
        <v>186.61666666666665</v>
      </c>
      <c r="H29" s="2">
        <f t="shared" si="2"/>
        <v>1626.6166666666666</v>
      </c>
    </row>
    <row r="30" spans="1:9" ht="15.6">
      <c r="A30" s="3" t="s">
        <v>34</v>
      </c>
      <c r="B30" t="s">
        <v>82</v>
      </c>
      <c r="C30">
        <v>1</v>
      </c>
      <c r="D30" s="11">
        <v>0.12664351851851852</v>
      </c>
      <c r="E30" s="4">
        <f>SUMIF(B$1:B$70,"OCO*",H$1:H$70)</f>
        <v>7541.15</v>
      </c>
      <c r="F30" s="2">
        <f t="shared" si="0"/>
        <v>1440</v>
      </c>
      <c r="G30" s="2">
        <f t="shared" si="1"/>
        <v>182.36666666666667</v>
      </c>
      <c r="H30" s="2">
        <f t="shared" si="2"/>
        <v>1622.3666666666668</v>
      </c>
    </row>
    <row r="31" spans="1:9" ht="15.6">
      <c r="A31" s="3" t="s">
        <v>36</v>
      </c>
      <c r="B31" t="s">
        <v>83</v>
      </c>
      <c r="C31">
        <v>1</v>
      </c>
      <c r="D31" s="11">
        <v>9.6342592592592591E-2</v>
      </c>
      <c r="E31" s="4">
        <f>SUMIF(B$1:B$70,"ON2*",H$1:H$70)</f>
        <v>865.15</v>
      </c>
      <c r="F31" s="2">
        <f t="shared" si="0"/>
        <v>1440</v>
      </c>
      <c r="G31" s="2">
        <f t="shared" si="1"/>
        <v>138.73333333333332</v>
      </c>
      <c r="H31" s="2">
        <f t="shared" si="2"/>
        <v>1578.7333333333333</v>
      </c>
      <c r="I31" s="8"/>
    </row>
    <row r="32" spans="1:9" ht="15.6">
      <c r="A32" s="3" t="s">
        <v>37</v>
      </c>
      <c r="B32" t="s">
        <v>84</v>
      </c>
      <c r="C32">
        <v>0</v>
      </c>
      <c r="D32" s="12">
        <v>0.98841435185185189</v>
      </c>
      <c r="E32" s="4">
        <f>SUMIF(B$1:B$70,"ONE*",H$1:H$70)</f>
        <v>2738.0166666666664</v>
      </c>
      <c r="F32" s="2">
        <f t="shared" si="0"/>
        <v>0</v>
      </c>
      <c r="G32" s="2">
        <f t="shared" si="1"/>
        <v>1423.3166666666668</v>
      </c>
      <c r="H32" s="2">
        <f t="shared" si="2"/>
        <v>1423.3166666666668</v>
      </c>
    </row>
    <row r="33" spans="1:9">
      <c r="B33" t="s">
        <v>85</v>
      </c>
      <c r="C33">
        <v>0</v>
      </c>
      <c r="D33" s="11">
        <v>0.9422800925925926</v>
      </c>
      <c r="F33" s="2">
        <f t="shared" si="0"/>
        <v>0</v>
      </c>
      <c r="G33" s="2">
        <f t="shared" si="1"/>
        <v>1356.8833333333334</v>
      </c>
      <c r="H33" s="2">
        <f t="shared" si="2"/>
        <v>1356.8833333333334</v>
      </c>
    </row>
    <row r="34" spans="1:9" ht="15.6">
      <c r="A34" s="3" t="s">
        <v>31</v>
      </c>
      <c r="B34" t="s">
        <v>86</v>
      </c>
      <c r="C34">
        <v>0</v>
      </c>
      <c r="D34" s="11">
        <v>0.84386574074074072</v>
      </c>
      <c r="E34" s="4">
        <f>SUMIF(B$1:B$70,"PES*",H$1:H$70)</f>
        <v>1622.3666666666668</v>
      </c>
      <c r="F34" s="2">
        <f t="shared" si="0"/>
        <v>0</v>
      </c>
      <c r="G34" s="2">
        <f t="shared" si="1"/>
        <v>1215.1666666666667</v>
      </c>
      <c r="H34" s="2">
        <f t="shared" si="2"/>
        <v>1215.1666666666667</v>
      </c>
      <c r="I34" s="8"/>
    </row>
    <row r="35" spans="1:9" ht="15.6">
      <c r="A35" s="3" t="s">
        <v>38</v>
      </c>
      <c r="B35" t="s">
        <v>87</v>
      </c>
      <c r="C35">
        <v>0</v>
      </c>
      <c r="D35" s="11">
        <v>0.83466435185185184</v>
      </c>
      <c r="E35" s="4">
        <f>SUMIF(B$1:B$70,"SCA*",H$1:H$70)</f>
        <v>0</v>
      </c>
      <c r="F35" s="2">
        <f t="shared" si="0"/>
        <v>0</v>
      </c>
      <c r="G35" s="2">
        <f t="shared" si="1"/>
        <v>1201.9166666666667</v>
      </c>
      <c r="H35" s="2">
        <f t="shared" si="2"/>
        <v>1201.9166666666667</v>
      </c>
    </row>
    <row r="36" spans="1:9">
      <c r="B36" t="s">
        <v>88</v>
      </c>
      <c r="C36">
        <v>0</v>
      </c>
      <c r="D36" s="12">
        <v>0.77747685185185189</v>
      </c>
      <c r="F36" s="2">
        <f t="shared" si="0"/>
        <v>0</v>
      </c>
      <c r="G36" s="2">
        <f t="shared" si="1"/>
        <v>1119.5666666666668</v>
      </c>
      <c r="H36" s="2">
        <f t="shared" si="2"/>
        <v>1119.5666666666668</v>
      </c>
    </row>
    <row r="37" spans="1:9" ht="15.6">
      <c r="A37" s="3" t="s">
        <v>39</v>
      </c>
      <c r="B37" t="s">
        <v>89</v>
      </c>
      <c r="C37">
        <v>0</v>
      </c>
      <c r="D37" s="11">
        <v>0.56519675925925927</v>
      </c>
      <c r="E37" s="4">
        <f>SUMIF(B$1:B$70,"SEY*",H$1:H$70)</f>
        <v>7591.5666666666666</v>
      </c>
      <c r="F37" s="2">
        <f t="shared" si="0"/>
        <v>0</v>
      </c>
      <c r="G37" s="2">
        <f t="shared" si="1"/>
        <v>813.88333333333333</v>
      </c>
      <c r="H37" s="2">
        <f t="shared" si="2"/>
        <v>813.88333333333333</v>
      </c>
      <c r="I37" s="8"/>
    </row>
    <row r="38" spans="1:9">
      <c r="B38" t="s">
        <v>90</v>
      </c>
      <c r="C38">
        <v>0</v>
      </c>
      <c r="D38" s="11">
        <v>0.21222222222222223</v>
      </c>
      <c r="F38" s="2">
        <f t="shared" si="0"/>
        <v>0</v>
      </c>
      <c r="G38" s="2">
        <f t="shared" si="1"/>
        <v>305.60000000000002</v>
      </c>
      <c r="H38" s="2">
        <f t="shared" si="2"/>
        <v>305.60000000000002</v>
      </c>
    </row>
    <row r="39" spans="1:9" ht="15.6">
      <c r="A39" s="3" t="s">
        <v>42</v>
      </c>
      <c r="B39" t="s">
        <v>91</v>
      </c>
      <c r="C39">
        <v>0</v>
      </c>
      <c r="D39" s="11">
        <v>0.46748842592592593</v>
      </c>
      <c r="E39" s="4">
        <f>SUMIF(B$1:B$70,"SHA*",H$1:H$70)</f>
        <v>19844.133333333335</v>
      </c>
      <c r="F39" s="2">
        <f t="shared" si="0"/>
        <v>0</v>
      </c>
      <c r="G39" s="2">
        <f t="shared" si="1"/>
        <v>673.18333333333339</v>
      </c>
      <c r="H39" s="2">
        <f t="shared" si="2"/>
        <v>673.18333333333339</v>
      </c>
    </row>
    <row r="40" spans="1:9" ht="15.6">
      <c r="A40" s="3" t="s">
        <v>45</v>
      </c>
      <c r="B40" t="s">
        <v>92</v>
      </c>
      <c r="C40">
        <v>0</v>
      </c>
      <c r="D40" s="11">
        <v>0.55424768518518519</v>
      </c>
      <c r="E40" s="4">
        <f>SUMIF(B$1:B$70,"SHI*",H$1:H$70)</f>
        <v>274.05</v>
      </c>
      <c r="F40" s="2">
        <f t="shared" si="0"/>
        <v>0</v>
      </c>
      <c r="G40" s="2">
        <f t="shared" si="1"/>
        <v>798.11666666666667</v>
      </c>
      <c r="H40" s="2">
        <f t="shared" si="2"/>
        <v>798.11666666666667</v>
      </c>
      <c r="I40" s="8"/>
    </row>
    <row r="41" spans="1:9" ht="15.6">
      <c r="A41" s="3" t="s">
        <v>12</v>
      </c>
      <c r="B41" t="s">
        <v>93</v>
      </c>
      <c r="C41">
        <v>0</v>
      </c>
      <c r="D41" s="12">
        <v>0.40695601851851854</v>
      </c>
      <c r="E41" s="4">
        <f>SUMIF(B$1:B$70,"SIS*",H$1:H$70)</f>
        <v>4445.6499999999996</v>
      </c>
      <c r="F41" s="2">
        <f t="shared" si="0"/>
        <v>0</v>
      </c>
      <c r="G41" s="2">
        <f t="shared" si="1"/>
        <v>586.01666666666665</v>
      </c>
      <c r="H41" s="2">
        <f t="shared" si="2"/>
        <v>586.01666666666665</v>
      </c>
    </row>
    <row r="42" spans="1:9" ht="15.6">
      <c r="A42" s="3" t="s">
        <v>13</v>
      </c>
      <c r="B42" t="s">
        <v>94</v>
      </c>
      <c r="C42">
        <v>0</v>
      </c>
      <c r="D42" s="11">
        <v>0.46113425925925927</v>
      </c>
      <c r="E42" s="4">
        <f>SUMIF(B$1:B$70,"STR*",H$1:H$70)</f>
        <v>23577.933333333334</v>
      </c>
      <c r="F42" s="2">
        <f t="shared" si="0"/>
        <v>0</v>
      </c>
      <c r="G42" s="2">
        <f t="shared" si="1"/>
        <v>664.0333333333333</v>
      </c>
      <c r="H42" s="2">
        <f t="shared" si="2"/>
        <v>664.0333333333333</v>
      </c>
    </row>
    <row r="43" spans="1:9" ht="15.6">
      <c r="A43" s="3" t="s">
        <v>46</v>
      </c>
      <c r="B43" t="s">
        <v>95</v>
      </c>
      <c r="C43">
        <v>0</v>
      </c>
      <c r="D43" s="11">
        <v>0.45269675925925923</v>
      </c>
      <c r="E43" s="4">
        <f>SUMIF(B$1:B$70,"SUR*",H$1:H$70)</f>
        <v>1578.7333333333333</v>
      </c>
      <c r="F43" s="2">
        <f t="shared" si="0"/>
        <v>0</v>
      </c>
      <c r="G43" s="2">
        <f t="shared" si="1"/>
        <v>651.88333333333333</v>
      </c>
      <c r="H43" s="2">
        <f t="shared" si="2"/>
        <v>651.88333333333333</v>
      </c>
    </row>
    <row r="44" spans="1:9" ht="15.6">
      <c r="A44" s="3" t="s">
        <v>43</v>
      </c>
      <c r="B44" t="s">
        <v>96</v>
      </c>
      <c r="C44">
        <v>0</v>
      </c>
      <c r="D44" s="11">
        <v>0.45187500000000003</v>
      </c>
      <c r="E44" s="4">
        <f>SUMIF(B$1:B$70,"TIG*",H$1:H$70)</f>
        <v>5179.0166666666664</v>
      </c>
      <c r="F44" s="2">
        <f t="shared" si="0"/>
        <v>0</v>
      </c>
      <c r="G44" s="2">
        <f t="shared" si="1"/>
        <v>650.70000000000005</v>
      </c>
      <c r="H44" s="2">
        <f t="shared" si="2"/>
        <v>650.70000000000005</v>
      </c>
    </row>
    <row r="45" spans="1:9" ht="15.6">
      <c r="A45" s="3" t="s">
        <v>32</v>
      </c>
      <c r="B45" t="s">
        <v>97</v>
      </c>
      <c r="C45">
        <v>0</v>
      </c>
      <c r="D45" s="11">
        <v>0.40803240740740737</v>
      </c>
      <c r="E45" s="4">
        <f>SUMIF(B$1:B$70,"WAS*",H$1:H$70)</f>
        <v>1713.2666666666667</v>
      </c>
      <c r="F45" s="2">
        <f t="shared" si="0"/>
        <v>0</v>
      </c>
      <c r="G45" s="2">
        <f t="shared" si="1"/>
        <v>587.56666666666661</v>
      </c>
      <c r="H45" s="2">
        <f t="shared" si="2"/>
        <v>587.56666666666661</v>
      </c>
    </row>
    <row r="46" spans="1:9" ht="15.6">
      <c r="A46" s="3"/>
      <c r="B46" t="s">
        <v>98</v>
      </c>
      <c r="C46">
        <v>0</v>
      </c>
      <c r="D46" s="11">
        <v>0.12534722222222222</v>
      </c>
      <c r="E46" s="4"/>
      <c r="F46" s="2">
        <f t="shared" si="0"/>
        <v>0</v>
      </c>
      <c r="G46" s="2">
        <f t="shared" si="1"/>
        <v>180.5</v>
      </c>
      <c r="H46" s="2">
        <f t="shared" si="2"/>
        <v>180.5</v>
      </c>
    </row>
    <row r="47" spans="1:9" ht="15.6">
      <c r="A47" s="3"/>
      <c r="B47" t="s">
        <v>99</v>
      </c>
      <c r="C47">
        <v>0</v>
      </c>
      <c r="D47" s="12">
        <v>0.35403935185185187</v>
      </c>
      <c r="E47" s="4"/>
      <c r="F47" s="2">
        <f t="shared" si="0"/>
        <v>0</v>
      </c>
      <c r="G47" s="2">
        <f t="shared" si="1"/>
        <v>509.81666666666672</v>
      </c>
      <c r="H47" s="2">
        <f t="shared" si="2"/>
        <v>509.81666666666672</v>
      </c>
    </row>
    <row r="48" spans="1:9" ht="15.6">
      <c r="A48" s="3"/>
      <c r="B48" t="s">
        <v>100</v>
      </c>
      <c r="C48">
        <v>0</v>
      </c>
      <c r="D48" s="11">
        <v>0.33817129629629633</v>
      </c>
      <c r="E48" s="4"/>
      <c r="F48" s="2">
        <f t="shared" si="0"/>
        <v>0</v>
      </c>
      <c r="G48" s="2">
        <f t="shared" si="1"/>
        <v>486.9666666666667</v>
      </c>
      <c r="H48" s="2">
        <f t="shared" si="2"/>
        <v>486.9666666666667</v>
      </c>
    </row>
    <row r="49" spans="1:8" ht="15.6">
      <c r="A49" s="3" t="s">
        <v>47</v>
      </c>
      <c r="B49" t="s">
        <v>101</v>
      </c>
      <c r="C49">
        <v>0</v>
      </c>
      <c r="D49" s="11">
        <v>0.3346412037037037</v>
      </c>
      <c r="E49" s="4">
        <f>SUMIF(B$1:B$70,"WAU*",H$1:H$70)</f>
        <v>17477.300000000003</v>
      </c>
      <c r="F49" s="2">
        <f t="shared" si="0"/>
        <v>0</v>
      </c>
      <c r="G49" s="2">
        <f t="shared" si="1"/>
        <v>481.88333333333333</v>
      </c>
      <c r="H49" s="2">
        <f t="shared" si="2"/>
        <v>481.88333333333333</v>
      </c>
    </row>
    <row r="50" spans="1:8" ht="15.6">
      <c r="A50" s="3" t="s">
        <v>48</v>
      </c>
      <c r="B50" t="s">
        <v>102</v>
      </c>
      <c r="C50">
        <v>0</v>
      </c>
      <c r="D50" s="11">
        <v>0.17043981481481482</v>
      </c>
      <c r="E50" s="4">
        <f>SUMIF(B$1:B$70,"WEY*",H$1:H$70)</f>
        <v>1423.3166666666668</v>
      </c>
      <c r="F50" s="2">
        <f t="shared" si="0"/>
        <v>0</v>
      </c>
      <c r="G50" s="2">
        <f t="shared" si="1"/>
        <v>245.43333333333334</v>
      </c>
      <c r="H50" s="2">
        <f t="shared" si="2"/>
        <v>245.43333333333334</v>
      </c>
    </row>
    <row r="51" spans="1:8" ht="15.6">
      <c r="A51" s="3" t="s">
        <v>44</v>
      </c>
      <c r="B51" t="s">
        <v>103</v>
      </c>
      <c r="C51">
        <v>0</v>
      </c>
      <c r="D51" s="12">
        <v>0.1903125</v>
      </c>
      <c r="E51" s="4">
        <f>SUMIF(B$1:B$70,"WIT*",H$1:H$70)</f>
        <v>798.11666666666667</v>
      </c>
      <c r="F51" s="2">
        <f t="shared" si="0"/>
        <v>0</v>
      </c>
      <c r="G51" s="2">
        <f t="shared" si="1"/>
        <v>274.05</v>
      </c>
      <c r="H51" s="2">
        <f t="shared" si="2"/>
        <v>274.05</v>
      </c>
    </row>
    <row r="52" spans="1:8" ht="15.6">
      <c r="A52" t="s">
        <v>8</v>
      </c>
      <c r="B52" t="s">
        <v>104</v>
      </c>
      <c r="C52">
        <v>0</v>
      </c>
      <c r="D52" s="12">
        <v>0.10065972222222223</v>
      </c>
      <c r="E52" s="4">
        <f>SUMIF(B$1:B$70,"EGG*",H$1:H$70)</f>
        <v>1860.0333333333335</v>
      </c>
      <c r="F52" s="2">
        <f t="shared" si="0"/>
        <v>0</v>
      </c>
      <c r="G52" s="2">
        <f t="shared" si="1"/>
        <v>144.95000000000002</v>
      </c>
      <c r="H52" s="2">
        <f t="shared" si="2"/>
        <v>144.95000000000002</v>
      </c>
    </row>
    <row r="53" spans="1:8" ht="15.6">
      <c r="A53" s="3" t="s">
        <v>11</v>
      </c>
      <c r="B53" t="s">
        <v>105</v>
      </c>
      <c r="C53">
        <v>0</v>
      </c>
      <c r="D53" s="12">
        <v>0.10817129629629629</v>
      </c>
      <c r="E53" s="4">
        <f>SUMIF(B$1:B$70,"FOR*",H$1:H$70)</f>
        <v>155.76666666666665</v>
      </c>
      <c r="F53" s="2">
        <f t="shared" si="0"/>
        <v>0</v>
      </c>
      <c r="G53" s="2">
        <f t="shared" si="1"/>
        <v>155.76666666666665</v>
      </c>
      <c r="H53" s="2">
        <f t="shared" si="2"/>
        <v>155.76666666666665</v>
      </c>
    </row>
    <row r="54" spans="1:8" ht="15.6">
      <c r="A54" s="3" t="s">
        <v>14</v>
      </c>
      <c r="B54" t="s">
        <v>106</v>
      </c>
      <c r="C54">
        <v>0</v>
      </c>
      <c r="D54" s="12">
        <v>0.12708333333333333</v>
      </c>
      <c r="E54" s="4">
        <f>SUMIF(B$1:B$70,"WSH*",H$1:H$70)</f>
        <v>144.95000000000002</v>
      </c>
      <c r="F54" s="2">
        <f t="shared" si="0"/>
        <v>0</v>
      </c>
      <c r="G54" s="2">
        <f t="shared" si="1"/>
        <v>183</v>
      </c>
      <c r="H54" s="2">
        <f t="shared" si="2"/>
        <v>183</v>
      </c>
    </row>
    <row r="55" spans="1:8" ht="15.6">
      <c r="A55" s="3" t="s">
        <v>9</v>
      </c>
      <c r="B55" t="s">
        <v>107</v>
      </c>
      <c r="C55">
        <v>0</v>
      </c>
      <c r="D55" s="12">
        <v>0.11025462962962962</v>
      </c>
      <c r="E55" s="4">
        <f>SUMIF(B$1:B$70,"EPH*",H$1:H$70)</f>
        <v>183</v>
      </c>
      <c r="F55" s="2">
        <f t="shared" si="0"/>
        <v>0</v>
      </c>
      <c r="G55" s="2">
        <f t="shared" si="1"/>
        <v>158.76666666666665</v>
      </c>
      <c r="H55" s="2">
        <f t="shared" si="2"/>
        <v>158.76666666666665</v>
      </c>
    </row>
    <row r="56" spans="1:8">
      <c r="F56" s="2">
        <f t="shared" si="0"/>
        <v>0</v>
      </c>
      <c r="G56" s="2">
        <f t="shared" si="1"/>
        <v>0</v>
      </c>
      <c r="H56" s="2">
        <f t="shared" si="2"/>
        <v>0</v>
      </c>
    </row>
    <row r="57" spans="1:8">
      <c r="F57" s="2">
        <f t="shared" si="0"/>
        <v>0</v>
      </c>
      <c r="G57" s="2">
        <f t="shared" si="1"/>
        <v>0</v>
      </c>
      <c r="H57" s="2">
        <f t="shared" si="2"/>
        <v>0</v>
      </c>
    </row>
    <row r="58" spans="1:8">
      <c r="F58" s="2">
        <f t="shared" si="0"/>
        <v>0</v>
      </c>
      <c r="G58" s="2">
        <f t="shared" si="1"/>
        <v>0</v>
      </c>
      <c r="H58" s="2">
        <f t="shared" si="2"/>
        <v>0</v>
      </c>
    </row>
    <row r="59" spans="1:8">
      <c r="F59" s="2">
        <f t="shared" si="0"/>
        <v>0</v>
      </c>
      <c r="G59" s="2">
        <f t="shared" si="1"/>
        <v>0</v>
      </c>
      <c r="H59" s="2">
        <f t="shared" si="2"/>
        <v>0</v>
      </c>
    </row>
    <row r="60" spans="1:8">
      <c r="F60" s="2">
        <f t="shared" si="0"/>
        <v>0</v>
      </c>
      <c r="G60" s="2">
        <f t="shared" si="1"/>
        <v>0</v>
      </c>
      <c r="H60" s="2">
        <f t="shared" si="2"/>
        <v>0</v>
      </c>
    </row>
    <row r="61" spans="1:8">
      <c r="F61" s="2">
        <f t="shared" si="0"/>
        <v>0</v>
      </c>
      <c r="G61" s="2">
        <f t="shared" si="1"/>
        <v>0</v>
      </c>
      <c r="H61" s="2">
        <f t="shared" si="2"/>
        <v>0</v>
      </c>
    </row>
    <row r="62" spans="1:8">
      <c r="F62" s="2">
        <f t="shared" si="0"/>
        <v>0</v>
      </c>
      <c r="G62" s="2">
        <f t="shared" si="1"/>
        <v>0</v>
      </c>
      <c r="H62" s="2">
        <f t="shared" si="2"/>
        <v>0</v>
      </c>
    </row>
    <row r="63" spans="1:8">
      <c r="F63" s="2">
        <f t="shared" si="0"/>
        <v>0</v>
      </c>
      <c r="G63" s="2">
        <f t="shared" si="1"/>
        <v>0</v>
      </c>
      <c r="H63" s="2">
        <f t="shared" si="2"/>
        <v>0</v>
      </c>
    </row>
    <row r="64" spans="1:8">
      <c r="F64" s="2">
        <f t="shared" si="0"/>
        <v>0</v>
      </c>
      <c r="G64" s="2">
        <f t="shared" si="1"/>
        <v>0</v>
      </c>
      <c r="H64" s="2">
        <f t="shared" si="2"/>
        <v>0</v>
      </c>
    </row>
    <row r="65" spans="1:8" ht="15.6">
      <c r="A65" s="3"/>
      <c r="F65" s="2">
        <f t="shared" si="0"/>
        <v>0</v>
      </c>
      <c r="G65" s="2">
        <f t="shared" si="1"/>
        <v>0</v>
      </c>
      <c r="H65" s="2">
        <f t="shared" si="2"/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7f66bd1-b27f-4549-9a13-ff91df445e32" xsi:nil="true"/>
    <TaxCatchAll xmlns="dff25256-2261-48e2-8556-269c358cb3df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7" ma:contentTypeDescription="Create a new document." ma:contentTypeScope="" ma:versionID="35bc307e3dddd0491d042595e1d4b220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a6c01a3190172a901b62b20db69af72b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B05DFD-0219-451B-9E1F-87FBFA53466C}">
  <ds:schemaRefs>
    <ds:schemaRef ds:uri="http://schemas.microsoft.com/office/2006/metadata/properties"/>
    <ds:schemaRef ds:uri="http://schemas.microsoft.com/office/infopath/2007/PartnerControls"/>
    <ds:schemaRef ds:uri="47f66bd1-b27f-4549-9a13-ff91df445e32"/>
    <ds:schemaRef ds:uri="dff25256-2261-48e2-8556-269c358cb3df"/>
  </ds:schemaRefs>
</ds:datastoreItem>
</file>

<file path=customXml/itemProps2.xml><?xml version="1.0" encoding="utf-8"?>
<ds:datastoreItem xmlns:ds="http://schemas.openxmlformats.org/officeDocument/2006/customXml" ds:itemID="{132051CD-3FBA-4A07-802D-4A15ED1877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700E55-F9E9-47B1-881B-F9AB94BF1E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66bd1-b27f-4549-9a13-ff91df445e32"/>
    <ds:schemaRef ds:uri="dff25256-2261-48e2-8556-269c358cb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MY PC report</vt:lpstr>
      <vt:lpstr>Sessions</vt:lpstr>
      <vt:lpstr>Minutes</vt:lpstr>
      <vt:lpstr>'MY PC report'!Print_Titles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ljandace</dc:creator>
  <cp:keywords/>
  <dc:description/>
  <cp:lastModifiedBy>Molly Komp</cp:lastModifiedBy>
  <cp:revision/>
  <cp:lastPrinted>2023-11-01T14:51:07Z</cp:lastPrinted>
  <dcterms:created xsi:type="dcterms:W3CDTF">1996-12-17T01:32:42Z</dcterms:created>
  <dcterms:modified xsi:type="dcterms:W3CDTF">2023-11-01T15:05:13Z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  <property fmtid="{D5CDD505-2E9C-101B-9397-08002B2CF9AE}" pid="3" name="MediaServiceImageTags">
    <vt:lpwstr/>
  </property>
</Properties>
</file>