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8" documentId="8_{31A41AF2-98B5-41E7-8204-B6915DA6BC40}" xr6:coauthVersionLast="47" xr6:coauthVersionMax="47" xr10:uidLastSave="{8581B51A-7ED6-47E0-BCB8-E4F8F5969979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H63" i="6" s="1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 s="1"/>
  <c r="G53" i="6"/>
  <c r="H53" i="6"/>
  <c r="G52" i="6"/>
  <c r="H52" i="6"/>
  <c r="E40" i="6" s="1"/>
  <c r="G51" i="6"/>
  <c r="H51" i="6"/>
  <c r="E55" i="6" s="1"/>
  <c r="G50" i="6"/>
  <c r="H50" i="6" s="1"/>
  <c r="G49" i="6"/>
  <c r="H49" i="6"/>
  <c r="E51" i="6" s="1"/>
  <c r="G48" i="6"/>
  <c r="H48" i="6"/>
  <c r="E53" i="6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E6" i="6" s="1"/>
  <c r="C26" i="4" s="1"/>
  <c r="G26" i="4" s="1"/>
  <c r="G36" i="6"/>
  <c r="H36" i="6" s="1"/>
  <c r="G35" i="6"/>
  <c r="H35" i="6" s="1"/>
  <c r="G34" i="6"/>
  <c r="H34" i="6"/>
  <c r="C10" i="4" s="1"/>
  <c r="G10" i="4" s="1"/>
  <c r="G33" i="6"/>
  <c r="H33" i="6" s="1"/>
  <c r="G32" i="6"/>
  <c r="H32" i="6"/>
  <c r="G31" i="6"/>
  <c r="H31" i="6"/>
  <c r="G30" i="6"/>
  <c r="H30" i="6"/>
  <c r="G29" i="6"/>
  <c r="H29" i="6" s="1"/>
  <c r="G28" i="6"/>
  <c r="G27" i="6"/>
  <c r="G26" i="6"/>
  <c r="G25" i="6"/>
  <c r="G24" i="6"/>
  <c r="G23" i="6"/>
  <c r="G22" i="6"/>
  <c r="G21" i="6"/>
  <c r="H21" i="6" s="1"/>
  <c r="G20" i="6"/>
  <c r="H20" i="6" s="1"/>
  <c r="G19" i="6"/>
  <c r="H19" i="6" s="1"/>
  <c r="E21" i="6" s="1"/>
  <c r="G18" i="6"/>
  <c r="H18" i="6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G3" i="6"/>
  <c r="H3" i="6" s="1"/>
  <c r="G2" i="6"/>
  <c r="H2" i="6" s="1"/>
  <c r="E39" i="6" s="1"/>
  <c r="G1" i="6"/>
  <c r="F1" i="6"/>
  <c r="A1" i="4"/>
  <c r="E15" i="6" l="1"/>
  <c r="C18" i="4" s="1"/>
  <c r="G18" i="4" s="1"/>
  <c r="E20" i="6"/>
  <c r="C21" i="4" s="1"/>
  <c r="G21" i="4" s="1"/>
  <c r="E49" i="6"/>
  <c r="C46" i="4" s="1"/>
  <c r="G46" i="4" s="1"/>
  <c r="E22" i="6"/>
  <c r="C24" i="4" s="1"/>
  <c r="E24" i="6"/>
  <c r="E28" i="6"/>
  <c r="E4" i="6"/>
  <c r="C4" i="4" s="1"/>
  <c r="G4" i="4" s="1"/>
  <c r="E54" i="6"/>
  <c r="C43" i="4"/>
  <c r="G43" i="4" s="1"/>
  <c r="E44" i="6"/>
  <c r="E34" i="6"/>
  <c r="C37" i="4"/>
  <c r="E43" i="6"/>
  <c r="C45" i="4" s="1"/>
  <c r="G45" i="4" s="1"/>
  <c r="E19" i="6"/>
  <c r="E27" i="6"/>
  <c r="E1" i="6"/>
  <c r="C3" i="4" s="1"/>
  <c r="G3" i="4" s="1"/>
  <c r="E50" i="6"/>
  <c r="C41" i="4"/>
  <c r="G41" i="4" s="1"/>
  <c r="E23" i="6"/>
  <c r="E3" i="6"/>
  <c r="C6" i="4" s="1"/>
  <c r="G6" i="4" s="1"/>
  <c r="G24" i="4"/>
  <c r="E48" i="4"/>
  <c r="H1" i="6"/>
  <c r="H9" i="6"/>
  <c r="H12" i="6"/>
  <c r="H14" i="6"/>
  <c r="H22" i="6"/>
  <c r="H24" i="6"/>
  <c r="E14" i="6" s="1"/>
  <c r="H26" i="6"/>
  <c r="H28" i="6"/>
  <c r="H39" i="6"/>
  <c r="E11" i="6" s="1"/>
  <c r="C14" i="4" s="1"/>
  <c r="G14" i="4" s="1"/>
  <c r="H41" i="6"/>
  <c r="H43" i="6"/>
  <c r="H45" i="6"/>
  <c r="H10" i="6"/>
  <c r="H13" i="6"/>
  <c r="H15" i="6"/>
  <c r="H23" i="6"/>
  <c r="H25" i="6"/>
  <c r="H27" i="6"/>
  <c r="H38" i="6"/>
  <c r="E18" i="6" s="1"/>
  <c r="C19" i="4" s="1"/>
  <c r="G19" i="4" s="1"/>
  <c r="H40" i="6"/>
  <c r="H42" i="6"/>
  <c r="H44" i="6"/>
  <c r="B57" i="5"/>
  <c r="C40" i="4"/>
  <c r="C8" i="4"/>
  <c r="E52" i="6" l="1"/>
  <c r="C7" i="4" s="1"/>
  <c r="G7" i="4" s="1"/>
  <c r="E42" i="6"/>
  <c r="C12" i="4" s="1"/>
  <c r="G12" i="4" s="1"/>
  <c r="C25" i="4"/>
  <c r="G25" i="4" s="1"/>
  <c r="E12" i="6"/>
  <c r="C15" i="4" s="1"/>
  <c r="G15" i="4" s="1"/>
  <c r="C22" i="4"/>
  <c r="G22" i="4" s="1"/>
  <c r="E25" i="6"/>
  <c r="C32" i="4" s="1"/>
  <c r="G32" i="4" s="1"/>
  <c r="C23" i="4"/>
  <c r="G23" i="4" s="1"/>
  <c r="E37" i="6"/>
  <c r="C38" i="4" s="1"/>
  <c r="G38" i="4" s="1"/>
  <c r="E9" i="6"/>
  <c r="C27" i="4" s="1"/>
  <c r="G27" i="4" s="1"/>
  <c r="C17" i="4"/>
  <c r="G17" i="4" s="1"/>
  <c r="E32" i="6"/>
  <c r="C36" i="4" s="1"/>
  <c r="G36" i="4" s="1"/>
  <c r="C13" i="4"/>
  <c r="G13" i="4" s="1"/>
  <c r="E10" i="6"/>
  <c r="C9" i="4" s="1"/>
  <c r="G9" i="4" s="1"/>
  <c r="C42" i="4"/>
  <c r="G42" i="4" s="1"/>
  <c r="E13" i="6"/>
  <c r="C16" i="4" s="1"/>
  <c r="G16" i="4" s="1"/>
  <c r="C20" i="4"/>
  <c r="G20" i="4" s="1"/>
  <c r="E8" i="6"/>
  <c r="C5" i="4" s="1"/>
  <c r="G5" i="4" s="1"/>
  <c r="C47" i="4"/>
  <c r="G47" i="4" s="1"/>
  <c r="E29" i="6"/>
  <c r="C34" i="4" s="1"/>
  <c r="G34" i="4" s="1"/>
  <c r="C30" i="4"/>
  <c r="G30" i="4" s="1"/>
  <c r="E45" i="6"/>
  <c r="C31" i="4" s="1"/>
  <c r="G31" i="4" s="1"/>
  <c r="E31" i="6"/>
  <c r="C35" i="4" s="1"/>
  <c r="G35" i="4" s="1"/>
  <c r="C29" i="4"/>
  <c r="G29" i="4" s="1"/>
  <c r="E5" i="6"/>
  <c r="C39" i="4" s="1"/>
  <c r="G39" i="4" s="1"/>
  <c r="C28" i="4"/>
  <c r="G28" i="4" s="1"/>
  <c r="E30" i="6"/>
  <c r="C33" i="4" s="1"/>
  <c r="G33" i="4" s="1"/>
  <c r="C44" i="4"/>
  <c r="G44" i="4" s="1"/>
  <c r="E41" i="6"/>
  <c r="C11" i="4" s="1"/>
  <c r="G11" i="4" s="1"/>
  <c r="G8" i="4"/>
  <c r="C48" i="4" l="1"/>
  <c r="G48" i="4" s="1"/>
</calcChain>
</file>

<file path=xl/sharedStrings.xml><?xml version="1.0" encoding="utf-8"?>
<sst xmlns="http://schemas.openxmlformats.org/spreadsheetml/2006/main" count="249" uniqueCount="107">
  <si>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</si>
  <si>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</si>
  <si>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</si>
  <si>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</si>
  <si>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</si>
  <si>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</si>
  <si>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</si>
  <si>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</si>
  <si>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</si>
  <si>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</si>
  <si>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</si>
  <si>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</si>
  <si>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</si>
  <si>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</si>
  <si>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</si>
  <si>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</si>
  <si>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</si>
  <si>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</si>
  <si>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</si>
  <si>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</si>
  <si>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</si>
  <si>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</si>
  <si>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</si>
  <si>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</si>
  <si>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</si>
  <si>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</si>
  <si>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</si>
  <si>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</si>
  <si>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</si>
  <si>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</si>
  <si>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</si>
  <si>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</si>
  <si>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</si>
  <si>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</si>
  <si>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</si>
  <si>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</si>
  <si>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</si>
  <si>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</si>
  <si>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</si>
  <si>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</si>
  <si>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</si>
  <si>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</si>
  <si>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</si>
  <si>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</si>
  <si>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</si>
  <si>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</si>
  <si>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</si>
  <si>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</si>
  <si>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</si>
  <si>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</si>
  <si>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</si>
  <si>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</si>
  <si>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</si>
  <si>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STR - Internet Access</t>
  </si>
  <si>
    <t xml:space="preserve">SHA - Internet       </t>
  </si>
  <si>
    <t>IVL - Internet Access</t>
  </si>
  <si>
    <t xml:space="preserve">WAU - Internet       </t>
  </si>
  <si>
    <t>MRT - Internet Access</t>
  </si>
  <si>
    <t>KAU - Internet Access</t>
  </si>
  <si>
    <t>LIT - Internet Access</t>
  </si>
  <si>
    <t>KIM - Internet Access</t>
  </si>
  <si>
    <t xml:space="preserve">OCO - Internet       </t>
  </si>
  <si>
    <t xml:space="preserve">OCF - Internet       </t>
  </si>
  <si>
    <t>ALG - Internet Access</t>
  </si>
  <si>
    <t>CPL - Internet Access</t>
  </si>
  <si>
    <t xml:space="preserve">ONE - Internet       </t>
  </si>
  <si>
    <t xml:space="preserve">GIL - Internet       </t>
  </si>
  <si>
    <t>SEY - Internet Access</t>
  </si>
  <si>
    <t>KEW - Internet Access</t>
  </si>
  <si>
    <t>MAN - Internet Access</t>
  </si>
  <si>
    <t xml:space="preserve">WAU - Study          </t>
  </si>
  <si>
    <t>LAK - Internet Access</t>
  </si>
  <si>
    <t xml:space="preserve">TIG - Internet       </t>
  </si>
  <si>
    <t xml:space="preserve">KAU - Teen           </t>
  </si>
  <si>
    <t>WAS - Internet Access</t>
  </si>
  <si>
    <t>FPL - Internet Access</t>
  </si>
  <si>
    <t>HPL - Internet Access</t>
  </si>
  <si>
    <t>SIS - Internet Access</t>
  </si>
  <si>
    <t>CRI - Internet Access</t>
  </si>
  <si>
    <t xml:space="preserve">ON2 - Internet       </t>
  </si>
  <si>
    <t>MAR - Internet Access</t>
  </si>
  <si>
    <t xml:space="preserve">PES - Child          </t>
  </si>
  <si>
    <t xml:space="preserve">WAU - Child          </t>
  </si>
  <si>
    <t>LEN - Internet Access</t>
  </si>
  <si>
    <t>BCL - Internet Access</t>
  </si>
  <si>
    <t>SUR - Internet Access</t>
  </si>
  <si>
    <t xml:space="preserve">ALG - Child          </t>
  </si>
  <si>
    <t>NIA - Internet Access</t>
  </si>
  <si>
    <t>WEY - Internet Access</t>
  </si>
  <si>
    <t>COL - Internet Access</t>
  </si>
  <si>
    <t xml:space="preserve">KAU - Child          </t>
  </si>
  <si>
    <t xml:space="preserve">FLO - Internet       </t>
  </si>
  <si>
    <t>Egg - Internet Access</t>
  </si>
  <si>
    <t xml:space="preserve">BON - Internet       </t>
  </si>
  <si>
    <t xml:space="preserve">Egg - History        </t>
  </si>
  <si>
    <t xml:space="preserve">WAU - Teen           </t>
  </si>
  <si>
    <t xml:space="preserve">STR - Laurie Room    </t>
  </si>
  <si>
    <t>FIS - Internet Access</t>
  </si>
  <si>
    <t>BAI - Internet Access</t>
  </si>
  <si>
    <t>WSH - Internet Access</t>
  </si>
  <si>
    <t>FOR - Internet Access</t>
  </si>
  <si>
    <t xml:space="preserve">WIT - Internet       </t>
  </si>
  <si>
    <t xml:space="preserve">SHA - Child          </t>
  </si>
  <si>
    <t>EPH - Internet Access</t>
  </si>
  <si>
    <t xml:space="preserve">SHI  - Internet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</si>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</sst>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F35" sqref="F35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May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6809.8666666666668</v>
      </c>
      <c r="D3" s="21"/>
      <c r="E3" s="21">
        <f>VLOOKUP(A3,Sessions!$A$1:$D$56,2,FALSE)</f>
        <v>114</v>
      </c>
      <c r="F3" s="21"/>
      <c r="G3" s="22">
        <f>C3/E3</f>
        <v>59.735672514619885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1235.0333333333333</v>
      </c>
      <c r="D4" s="26"/>
      <c r="E4" s="25">
        <f>VLOOKUP(A4,Sessions!$A$1:$D$56,2,FALSE)</f>
        <v>54</v>
      </c>
      <c r="F4" s="26"/>
      <c r="G4" s="26">
        <f t="shared" ref="G4:G47" si="0">C4/E4</f>
        <v>22.870987654320988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5832.4833333333336</v>
      </c>
      <c r="D5" s="21"/>
      <c r="E5" s="21">
        <f>VLOOKUP(A5,Sessions!$A$1:$D$56,2,FALSE)</f>
        <v>157</v>
      </c>
      <c r="F5" s="21"/>
      <c r="G5" s="22">
        <f t="shared" si="0"/>
        <v>37.149575371549894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477.6</v>
      </c>
      <c r="D6" s="26"/>
      <c r="E6" s="25">
        <f>VLOOKUP(A6,Sessions!$A$1:$D$56,2,FALSE)</f>
        <v>17</v>
      </c>
      <c r="F6" s="26"/>
      <c r="G6" s="26">
        <f t="shared" si="0"/>
        <v>28.094117647058823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1592.5666666666666</v>
      </c>
      <c r="D7" s="22"/>
      <c r="E7" s="21">
        <f>VLOOKUP(A7,Sessions!$A$1:$D$56,2,FALSE)</f>
        <v>35</v>
      </c>
      <c r="F7" s="22"/>
      <c r="G7" s="22">
        <f>C7/E7</f>
        <v>45.501904761904761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87.149999999999991</v>
      </c>
      <c r="D8" s="26"/>
      <c r="E8" s="25">
        <f>VLOOKUP(A8,Sessions!$A$1:$D$56,2,FALSE)</f>
        <v>2</v>
      </c>
      <c r="F8" s="26"/>
      <c r="G8" s="26">
        <f t="shared" si="0"/>
        <v>43.574999999999996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483.35</v>
      </c>
      <c r="D9" s="21"/>
      <c r="E9" s="21">
        <f>VLOOKUP(A9,Sessions!$A$1:$D$56,2,FALSE)</f>
        <v>18</v>
      </c>
      <c r="F9" s="21"/>
      <c r="G9" s="22">
        <f t="shared" si="0"/>
        <v>26.852777777777778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401.84999999999997</v>
      </c>
      <c r="D10" s="25"/>
      <c r="E10" s="25">
        <f>VLOOKUP(A10,Sessions!$A$1:$D$56,2,FALSE)</f>
        <v>11</v>
      </c>
      <c r="F10" s="25"/>
      <c r="G10" s="26">
        <f t="shared" si="0"/>
        <v>36.531818181818181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2701.7833333333333</v>
      </c>
      <c r="D11" s="22"/>
      <c r="E11" s="21">
        <f>VLOOKUP(A11,Sessions!$A$1:$D$56,2,FALSE)</f>
        <v>83</v>
      </c>
      <c r="F11" s="22"/>
      <c r="G11" s="22">
        <f t="shared" si="0"/>
        <v>32.551606425702808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19545.849999999999</v>
      </c>
      <c r="D12" s="25"/>
      <c r="E12" s="25">
        <f>VLOOKUP(A12,Sessions!$A$1:$D$56,2,FALSE)</f>
        <v>449</v>
      </c>
      <c r="F12" s="25"/>
      <c r="G12" s="26">
        <f t="shared" si="0"/>
        <v>43.531959910913137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226.95000000000002</v>
      </c>
      <c r="D13" s="21"/>
      <c r="E13" s="21">
        <f>VLOOKUP(A13,Sessions!$A$1:$D$56,2,FALSE)</f>
        <v>9</v>
      </c>
      <c r="F13" s="21"/>
      <c r="G13" s="22">
        <f t="shared" si="0"/>
        <v>25.216666666666669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689.5333333333333</v>
      </c>
      <c r="D14" s="26"/>
      <c r="E14" s="25">
        <f>VLOOKUP(A14,Sessions!$A$1:$D$56,2,FALSE)</f>
        <v>26</v>
      </c>
      <c r="F14" s="26"/>
      <c r="G14" s="26">
        <f t="shared" ca="1" si="0"/>
        <v>26.52051282051282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3246.8833333333332</v>
      </c>
      <c r="D15" s="21"/>
      <c r="E15" s="21">
        <f>VLOOKUP(A15,Sessions!$A$1:$D$56,2,FALSE)</f>
        <v>32</v>
      </c>
      <c r="F15" s="21"/>
      <c r="G15" s="22">
        <f t="shared" si="0"/>
        <v>101.46510416666666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5512.6333333333332</v>
      </c>
      <c r="D16" s="26"/>
      <c r="E16" s="25">
        <f>VLOOKUP(A16,Sessions!$A$1:$D$56,2,FALSE)</f>
        <v>117</v>
      </c>
      <c r="F16" s="26"/>
      <c r="G16" s="26">
        <f t="shared" si="0"/>
        <v>47.116524216524212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2869.583333333333</v>
      </c>
      <c r="D17" s="21"/>
      <c r="E17" s="21">
        <f>VLOOKUP(A17,Sessions!$A$1:$D$56,2,FALSE)</f>
        <v>80</v>
      </c>
      <c r="F17" s="21"/>
      <c r="G17" s="22">
        <f t="shared" si="0"/>
        <v>35.869791666666664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15691.683333333334</v>
      </c>
      <c r="D18" s="26"/>
      <c r="E18" s="25">
        <f>VLOOKUP(A18,Sessions!$A$1:$D$56,2,FALSE)</f>
        <v>169</v>
      </c>
      <c r="F18" s="26"/>
      <c r="G18" s="26">
        <f t="shared" si="0"/>
        <v>92.850197238658779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16891.55</v>
      </c>
      <c r="D19" s="21"/>
      <c r="E19" s="21">
        <f>VLOOKUP(A19,Sessions!$A$1:$D$56,2,FALSE)</f>
        <v>415</v>
      </c>
      <c r="F19" s="21"/>
      <c r="G19" s="22">
        <f t="shared" si="0"/>
        <v>40.702530120481924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5338.8666666666668</v>
      </c>
      <c r="D20" s="26"/>
      <c r="E20" s="25">
        <f>VLOOKUP(A20,Sessions!$A$1:$D$56,2,FALSE)</f>
        <v>113</v>
      </c>
      <c r="F20" s="26"/>
      <c r="G20" s="26">
        <f t="shared" si="0"/>
        <v>47.246607669616523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8460.9500000000007</v>
      </c>
      <c r="D21" s="21"/>
      <c r="E21" s="21">
        <f>VLOOKUP(A21,Sessions!$A$1:$D$56,2,FALSE)</f>
        <v>218</v>
      </c>
      <c r="F21" s="21"/>
      <c r="G21" s="22">
        <f t="shared" si="0"/>
        <v>38.811697247706427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11092.65</v>
      </c>
      <c r="D22" s="26"/>
      <c r="E22" s="25">
        <f>VLOOKUP(A22,Sessions!$A$1:$D$56,2,FALSE)</f>
        <v>253</v>
      </c>
      <c r="F22" s="26"/>
      <c r="G22" s="26">
        <f t="shared" si="0"/>
        <v>43.844466403162052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4455.083333333333</v>
      </c>
      <c r="D23" s="21"/>
      <c r="E23" s="21">
        <f>VLOOKUP(A23,Sessions!$A$1:$D$56,2,FALSE)</f>
        <v>101</v>
      </c>
      <c r="F23" s="21"/>
      <c r="G23" s="22">
        <f t="shared" si="0"/>
        <v>44.10973597359736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1362.4166666666667</v>
      </c>
      <c r="D24" s="26"/>
      <c r="E24" s="25">
        <f>VLOOKUP(A24,Sessions!$A$1:$D$56,2,FALSE)</f>
        <v>32</v>
      </c>
      <c r="F24" s="26"/>
      <c r="G24" s="26">
        <f t="shared" si="0"/>
        <v>42.575520833333336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4989.3999999999996</v>
      </c>
      <c r="D25" s="21"/>
      <c r="E25" s="21">
        <f>VLOOKUP(A25,Sessions!$A$1:$D$56,2,FALSE)</f>
        <v>96</v>
      </c>
      <c r="F25" s="21"/>
      <c r="G25" s="22">
        <f t="shared" si="0"/>
        <v>51.972916666666663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931</v>
      </c>
      <c r="D26" s="26"/>
      <c r="E26" s="25">
        <f>VLOOKUP(A26,Sessions!$A$1:$D$56,2,FALSE)</f>
        <v>25</v>
      </c>
      <c r="F26" s="26"/>
      <c r="G26" s="26">
        <f t="shared" si="0"/>
        <v>37.24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2370.0166666666664</v>
      </c>
      <c r="D27" s="21"/>
      <c r="E27" s="21">
        <f>VLOOKUP(A27,Sessions!$A$1:$D$56,2,FALSE)</f>
        <v>69</v>
      </c>
      <c r="F27" s="21"/>
      <c r="G27" s="22">
        <f t="shared" si="0"/>
        <v>34.348067632850238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12838.733333333334</v>
      </c>
      <c r="D28" s="26"/>
      <c r="E28" s="25">
        <f>VLOOKUP(A28,Sessions!$A$1:$D$56,2,FALSE)</f>
        <v>316</v>
      </c>
      <c r="F28" s="26"/>
      <c r="G28" s="26">
        <f t="shared" si="0"/>
        <v>40.628902953586497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1058.3833333333334</v>
      </c>
      <c r="D29" s="21"/>
      <c r="E29" s="21">
        <f>VLOOKUP(A29,Sessions!$A$1:$D$56,2,FALSE)</f>
        <v>21</v>
      </c>
      <c r="F29" s="21"/>
      <c r="G29" s="22">
        <f t="shared" si="0"/>
        <v>50.399206349206352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1620.6666666666667</v>
      </c>
      <c r="D30" s="26"/>
      <c r="E30" s="25">
        <f>VLOOKUP(A30,Sessions!$A$1:$D$56,2,FALSE)</f>
        <v>32</v>
      </c>
      <c r="F30" s="26"/>
      <c r="G30" s="26">
        <f t="shared" si="0"/>
        <v>50.645833333333336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3353.15</v>
      </c>
      <c r="D31" s="21"/>
      <c r="E31" s="21">
        <f>VLOOKUP(A31,Sessions!$A$1:$D$56,2,FALSE)</f>
        <v>54</v>
      </c>
      <c r="F31" s="21"/>
      <c r="G31" s="22">
        <f t="shared" si="0"/>
        <v>62.095370370370375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1707.8666666666666</v>
      </c>
      <c r="D32" s="26"/>
      <c r="E32" s="25">
        <f>VLOOKUP(A32,Sessions!$A$1:$D$56,2,FALSE)</f>
        <v>57</v>
      </c>
      <c r="F32" s="26"/>
      <c r="G32" s="26">
        <f t="shared" si="0"/>
        <v>29.962573099415202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7638.2833333333328</v>
      </c>
      <c r="D33" s="21"/>
      <c r="E33" s="21">
        <f>VLOOKUP(A33,Sessions!$A$1:$D$56,2,FALSE)</f>
        <v>124</v>
      </c>
      <c r="F33" s="21"/>
      <c r="G33" s="22">
        <f t="shared" si="0"/>
        <v>61.599059139784941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7034.4833333333336</v>
      </c>
      <c r="D34" s="26"/>
      <c r="E34" s="25">
        <f>VLOOKUP(A34,Sessions!$A$1:$D$56,2,FALSE)</f>
        <v>160</v>
      </c>
      <c r="F34" s="26"/>
      <c r="G34" s="26">
        <f t="shared" si="0"/>
        <v>43.965520833333336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2079.0500000000002</v>
      </c>
      <c r="D35" s="21"/>
      <c r="E35" s="21">
        <f>VLOOKUP(A35,Sessions!$A$1:$D$56,2,FALSE)</f>
        <v>59</v>
      </c>
      <c r="F35" s="21"/>
      <c r="G35" s="22">
        <f t="shared" si="0"/>
        <v>35.238135593220342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3509.1166666666668</v>
      </c>
      <c r="D36" s="26"/>
      <c r="E36" s="25">
        <f>VLOOKUP(A36,Sessions!$A$1:$D$56,2,FALSE)</f>
        <v>100</v>
      </c>
      <c r="F36" s="26"/>
      <c r="G36" s="26">
        <f t="shared" si="0"/>
        <v>35.091166666666666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5387.6833333333334</v>
      </c>
      <c r="D38" s="26"/>
      <c r="E38" s="25">
        <f>VLOOKUP(A38,Sessions!$A$1:$D$56,2,FALSE)</f>
        <v>101</v>
      </c>
      <c r="F38" s="26"/>
      <c r="G38" s="26">
        <f t="shared" si="0"/>
        <v>53.343399339933995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752.46666666666658</v>
      </c>
      <c r="D39" s="21"/>
      <c r="E39" s="21">
        <f>VLOOKUP(A39,Sessions!$A$1:$D$56,2,FALSE)</f>
        <v>24</v>
      </c>
      <c r="F39" s="21"/>
      <c r="G39" s="22">
        <f t="shared" si="0"/>
        <v>31.352777777777774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18342.583333333332</v>
      </c>
      <c r="D41" s="21"/>
      <c r="E41" s="21">
        <f>VLOOKUP(A41,Sessions!$A$1:$D$56,2,FALSE)</f>
        <v>413</v>
      </c>
      <c r="F41" s="21"/>
      <c r="G41" s="22">
        <f t="shared" si="0"/>
        <v>44.413034705407583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4421.75</v>
      </c>
      <c r="D42" s="26"/>
      <c r="E42" s="25">
        <f>VLOOKUP(A42,Sessions!$A$1:$D$56,2,FALSE)</f>
        <v>71</v>
      </c>
      <c r="F42" s="26"/>
      <c r="G42" s="26">
        <f t="shared" si="0"/>
        <v>62.278169014084504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323.25</v>
      </c>
      <c r="D43" s="21"/>
      <c r="E43" s="21">
        <f>VLOOKUP(A43,Sessions!$A$1:$D$56,2,FALSE)</f>
        <v>10</v>
      </c>
      <c r="F43" s="21"/>
      <c r="G43" s="22">
        <f t="shared" si="0"/>
        <v>32.325000000000003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61.900000000000006</v>
      </c>
      <c r="D44" s="26"/>
      <c r="E44" s="25">
        <f>VLOOKUP(A44,Sessions!$A$1:$D$56,2,FALSE)</f>
        <v>3</v>
      </c>
      <c r="F44" s="26"/>
      <c r="G44" s="26">
        <f t="shared" si="0"/>
        <v>20.633333333333336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1183.8000000000002</v>
      </c>
      <c r="D45" s="21"/>
      <c r="E45" s="21">
        <f>VLOOKUP(A45,Sessions!$A$1:$D$56,2,FALSE)</f>
        <v>28</v>
      </c>
      <c r="F45" s="21"/>
      <c r="G45" s="22">
        <f t="shared" si="0"/>
        <v>42.278571428571432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22120.016666666666</v>
      </c>
      <c r="D46" s="26"/>
      <c r="E46" s="25">
        <f>VLOOKUP(A46,Sessions!$A$1:$D$56,2,FALSE)</f>
        <v>504</v>
      </c>
      <c r="F46" s="26"/>
      <c r="G46" s="26">
        <f t="shared" si="0"/>
        <v>43.888921957671954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942.88333333333333</v>
      </c>
      <c r="D47" s="21"/>
      <c r="E47" s="21">
        <f>VLOOKUP(A47,Sessions!$A$1:$D$56,2,FALSE)</f>
        <v>48</v>
      </c>
      <c r="F47" s="21"/>
      <c r="G47" s="22">
        <f t="shared" si="0"/>
        <v>19.643402777777776</v>
      </c>
    </row>
    <row r="48" spans="1:18" s="27" customFormat="1" ht="19.5" customHeight="1">
      <c r="A48" s="30" t="s">
        <v>49</v>
      </c>
      <c r="B48" s="30"/>
      <c r="C48" s="31">
        <f ca="1">SUM(C3:C47)</f>
        <v>217672.79999999993</v>
      </c>
      <c r="D48" s="32"/>
      <c r="E48" s="32">
        <f>SUM(E3:E47)</f>
        <v>4820</v>
      </c>
      <c r="F48" s="32"/>
      <c r="G48" s="32">
        <f ca="1">C48/E48</f>
        <v>45.160331950207457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C1" sqref="C1:D1048576"/>
    </sheetView>
  </sheetViews>
  <sheetFormatPr defaultRowHeight="15"/>
  <cols>
    <col min="1" max="1" width="26.54296875" customWidth="1"/>
    <col min="3" max="3" width="15" bestFit="1" customWidth="1"/>
    <col min="4" max="4" width="16.542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114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17</v>
      </c>
      <c r="C2">
        <v>435</v>
      </c>
      <c r="D2" t="s">
        <v>53</v>
      </c>
      <c r="E2" s="9"/>
    </row>
    <row r="3" spans="1:5" ht="15.6">
      <c r="A3" t="s">
        <v>5</v>
      </c>
      <c r="B3" s="34">
        <f>SUMIF(D$1:D$70, "BCL*",C$1:C$70)</f>
        <v>54</v>
      </c>
      <c r="C3">
        <v>392</v>
      </c>
      <c r="D3" t="s">
        <v>54</v>
      </c>
      <c r="E3" s="9"/>
    </row>
    <row r="4" spans="1:5" ht="15.6">
      <c r="A4" t="s">
        <v>40</v>
      </c>
      <c r="B4" s="34">
        <f>SUMIF(D$1:D$70, "BON*",C$1:C$70)</f>
        <v>24</v>
      </c>
      <c r="C4">
        <v>169</v>
      </c>
      <c r="D4" t="s">
        <v>55</v>
      </c>
      <c r="E4" s="9"/>
    </row>
    <row r="5" spans="1:5" ht="15.6">
      <c r="A5" t="s">
        <v>27</v>
      </c>
      <c r="B5" s="34">
        <f>SUMIF(D$1:D$70, "COL*",C$1:C$70)</f>
        <v>25</v>
      </c>
      <c r="C5">
        <v>404</v>
      </c>
      <c r="D5" t="s">
        <v>56</v>
      </c>
      <c r="E5" s="9"/>
    </row>
    <row r="6" spans="1:5" ht="15.6">
      <c r="A6" t="s">
        <v>6</v>
      </c>
      <c r="B6" s="34">
        <f>SUMIF(D$1:D$70, "CPL*",C$1:C$70)</f>
        <v>157</v>
      </c>
      <c r="C6">
        <v>316</v>
      </c>
      <c r="D6" t="s">
        <v>57</v>
      </c>
      <c r="E6" s="9"/>
    </row>
    <row r="7" spans="1:5" ht="15.6">
      <c r="B7" s="34"/>
      <c r="C7">
        <v>281</v>
      </c>
      <c r="D7" t="s">
        <v>58</v>
      </c>
      <c r="E7" s="9"/>
    </row>
    <row r="8" spans="1:5" ht="15.6">
      <c r="A8" t="s">
        <v>28</v>
      </c>
      <c r="B8" s="34">
        <f>SUMIF(D$1:D$70, "CRI*",C$1:C$70)</f>
        <v>69</v>
      </c>
      <c r="C8">
        <v>253</v>
      </c>
      <c r="D8" t="s">
        <v>59</v>
      </c>
      <c r="E8" s="9"/>
    </row>
    <row r="9" spans="1:5" ht="15.6">
      <c r="A9" t="s">
        <v>8</v>
      </c>
      <c r="B9" s="34">
        <f>SUMIF(D$1:D$70, "EGG*",C$1:C$70)</f>
        <v>35</v>
      </c>
      <c r="C9">
        <v>218</v>
      </c>
      <c r="D9" t="s">
        <v>60</v>
      </c>
      <c r="E9" s="9"/>
    </row>
    <row r="10" spans="1:5" ht="15.6">
      <c r="B10" s="34"/>
      <c r="C10">
        <v>124</v>
      </c>
      <c r="D10" t="s">
        <v>61</v>
      </c>
      <c r="E10" s="9"/>
    </row>
    <row r="11" spans="1:5" ht="15.6">
      <c r="B11" s="34"/>
      <c r="C11">
        <v>160</v>
      </c>
      <c r="D11" t="s">
        <v>62</v>
      </c>
      <c r="E11" s="9"/>
    </row>
    <row r="12" spans="1:5" ht="15.6">
      <c r="B12" s="34"/>
      <c r="C12">
        <v>90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2</v>
      </c>
      <c r="C13">
        <v>157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18</v>
      </c>
      <c r="C14">
        <v>100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26</v>
      </c>
      <c r="C15">
        <v>117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11</v>
      </c>
      <c r="C16">
        <v>101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32</v>
      </c>
      <c r="C17">
        <v>113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117</v>
      </c>
      <c r="C18">
        <v>96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80</v>
      </c>
      <c r="C19">
        <v>49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169</v>
      </c>
      <c r="C20">
        <v>101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415</v>
      </c>
      <c r="C21">
        <v>71</v>
      </c>
      <c r="D21" t="s">
        <v>72</v>
      </c>
      <c r="E21" s="10"/>
    </row>
    <row r="22" spans="1:5" ht="15.6">
      <c r="B22" s="34"/>
      <c r="C22">
        <v>110</v>
      </c>
      <c r="D22" t="s">
        <v>73</v>
      </c>
      <c r="E22" s="9"/>
    </row>
    <row r="23" spans="1:5" ht="15.6">
      <c r="B23" s="34"/>
      <c r="C23">
        <v>54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113</v>
      </c>
      <c r="C24">
        <v>32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218</v>
      </c>
      <c r="C25">
        <v>80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101</v>
      </c>
      <c r="C26">
        <v>83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32</v>
      </c>
      <c r="C27">
        <v>69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253</v>
      </c>
      <c r="C28">
        <v>59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96</v>
      </c>
      <c r="C29">
        <v>57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57</v>
      </c>
      <c r="C30">
        <v>32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34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316</v>
      </c>
      <c r="C32">
        <v>32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21</v>
      </c>
      <c r="C33">
        <v>54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160</v>
      </c>
      <c r="C34">
        <v>28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124</v>
      </c>
      <c r="C35">
        <v>24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59</v>
      </c>
      <c r="C36">
        <v>21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100</v>
      </c>
      <c r="C37">
        <v>48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32</v>
      </c>
      <c r="C38">
        <v>25</v>
      </c>
      <c r="D38" t="s">
        <v>89</v>
      </c>
    </row>
    <row r="39" spans="1:5" ht="15.6">
      <c r="B39" s="34"/>
      <c r="C39">
        <v>24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26</v>
      </c>
      <c r="D40" t="s">
        <v>91</v>
      </c>
    </row>
    <row r="41" spans="1:5" ht="15.6">
      <c r="A41" t="s">
        <v>39</v>
      </c>
      <c r="B41" s="34">
        <f>SUMIF(D$1:D$70, "SEY*",C$1:C$70)</f>
        <v>101</v>
      </c>
      <c r="C41">
        <v>26</v>
      </c>
      <c r="D41" t="s">
        <v>92</v>
      </c>
    </row>
    <row r="42" spans="1:5" ht="15.6">
      <c r="A42" t="s">
        <v>42</v>
      </c>
      <c r="B42" s="34">
        <f>SUMIF(D$1:D$70, "SHA*",C$1:C$70)</f>
        <v>413</v>
      </c>
      <c r="C42">
        <v>24</v>
      </c>
      <c r="D42" t="s">
        <v>93</v>
      </c>
    </row>
    <row r="43" spans="1:5" ht="15.6">
      <c r="B43" s="34"/>
      <c r="C43">
        <v>9</v>
      </c>
      <c r="D43" t="s">
        <v>94</v>
      </c>
    </row>
    <row r="44" spans="1:5" ht="15.6">
      <c r="A44" t="s">
        <v>45</v>
      </c>
      <c r="B44" s="34">
        <f>SUMIF(D$1:D$70, "SHI*",C$1:C$70)</f>
        <v>3</v>
      </c>
      <c r="C44">
        <v>17</v>
      </c>
      <c r="D44" t="s">
        <v>95</v>
      </c>
    </row>
    <row r="45" spans="1:5" ht="15.6">
      <c r="A45" t="s">
        <v>12</v>
      </c>
      <c r="B45" s="34">
        <f>SUMIF(D$1:D$70, "SIS*",C$1:C$70)</f>
        <v>83</v>
      </c>
      <c r="C45">
        <v>14</v>
      </c>
      <c r="D45" t="s">
        <v>96</v>
      </c>
    </row>
    <row r="46" spans="1:5" ht="15.6">
      <c r="A46" t="s">
        <v>13</v>
      </c>
      <c r="B46" s="34">
        <f>SUMIF(D$1:D$70, "STR*",C$1:C$70)</f>
        <v>449</v>
      </c>
      <c r="C46">
        <v>18</v>
      </c>
      <c r="D46" t="s">
        <v>97</v>
      </c>
    </row>
    <row r="47" spans="1:5" ht="15.6">
      <c r="B47" s="34"/>
      <c r="C47">
        <v>17</v>
      </c>
      <c r="D47" t="s">
        <v>98</v>
      </c>
    </row>
    <row r="48" spans="1:5" ht="15.6">
      <c r="A48" t="s">
        <v>46</v>
      </c>
      <c r="B48" s="34">
        <f>SUMIF(D$1:D$70, "SUR*",C$1:C$70)</f>
        <v>28</v>
      </c>
      <c r="C48">
        <v>9</v>
      </c>
      <c r="D48" t="s">
        <v>99</v>
      </c>
    </row>
    <row r="49" spans="1:4" ht="15.6">
      <c r="A49" t="s">
        <v>43</v>
      </c>
      <c r="B49" s="34">
        <f>SUMIF(D$1:D$70, "TIG*",C$1:C$70)</f>
        <v>71</v>
      </c>
      <c r="C49">
        <v>11</v>
      </c>
      <c r="D49" t="s">
        <v>100</v>
      </c>
    </row>
    <row r="50" spans="1:4" ht="15.6">
      <c r="A50" t="s">
        <v>32</v>
      </c>
      <c r="B50" s="34">
        <f>SUMIF(D$1:D$70, "WAS*",C$1:C$70)</f>
        <v>54</v>
      </c>
      <c r="C50">
        <v>10</v>
      </c>
      <c r="D50" t="s">
        <v>101</v>
      </c>
    </row>
    <row r="51" spans="1:4" ht="15.6">
      <c r="A51" t="s">
        <v>47</v>
      </c>
      <c r="B51" s="34">
        <f>SUMIF(D$1:D$70, "WAU*",C$1:C$70)</f>
        <v>504</v>
      </c>
      <c r="C51">
        <v>21</v>
      </c>
      <c r="D51" t="s">
        <v>102</v>
      </c>
    </row>
    <row r="52" spans="1:4" ht="15.6">
      <c r="B52" s="34"/>
      <c r="C52">
        <v>2</v>
      </c>
      <c r="D52" t="s">
        <v>103</v>
      </c>
    </row>
    <row r="53" spans="1:4" ht="15.6">
      <c r="B53" s="34"/>
      <c r="C53">
        <v>3</v>
      </c>
      <c r="D53" t="s">
        <v>104</v>
      </c>
    </row>
    <row r="54" spans="1:4" ht="15.6">
      <c r="A54" t="s">
        <v>48</v>
      </c>
      <c r="B54" s="34">
        <f>SUMIF(D$1:D$70, "WEY*",C$1:C$70)</f>
        <v>48</v>
      </c>
      <c r="C54" t="s">
        <v>105</v>
      </c>
      <c r="D54" t="s">
        <v>106</v>
      </c>
    </row>
    <row r="55" spans="1:4" ht="15.6">
      <c r="A55" t="s">
        <v>44</v>
      </c>
      <c r="B55" s="34">
        <f>SUMIF(D$1:D$70, "WIT*",C$1:C$70)</f>
        <v>10</v>
      </c>
    </row>
    <row r="56" spans="1:4" ht="15.6">
      <c r="A56" t="s">
        <v>14</v>
      </c>
      <c r="B56" s="34">
        <f>SUMIF(D$1:D$70, "WSH*",C$1:C$70)</f>
        <v>9</v>
      </c>
    </row>
    <row r="57" spans="1:4" ht="15.6">
      <c r="A57" s="3" t="s">
        <v>50</v>
      </c>
      <c r="B57">
        <f>SUM(B1:B56)</f>
        <v>4820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13</v>
      </c>
      <c r="D1" s="11">
        <v>0.13046296296296298</v>
      </c>
      <c r="E1" s="4">
        <f>SUMIF(B$1:B$70,"ALG*",H$1:H$70)</f>
        <v>6809.8666666666668</v>
      </c>
      <c r="F1" s="2">
        <f>C1*1440</f>
        <v>18720</v>
      </c>
      <c r="G1" s="2">
        <f>D1*1440</f>
        <v>187.86666666666667</v>
      </c>
      <c r="H1" s="2">
        <f>SUM(F1+G1)</f>
        <v>18907.866666666665</v>
      </c>
    </row>
    <row r="2" spans="1:9" ht="15.6">
      <c r="A2" s="3"/>
      <c r="B2" t="s">
        <v>54</v>
      </c>
      <c r="C2">
        <v>12</v>
      </c>
      <c r="D2" s="11">
        <v>0.57385416666666667</v>
      </c>
      <c r="E2" s="4"/>
      <c r="F2" s="2">
        <f t="shared" ref="F2:F65" si="0">C2*1440</f>
        <v>17280</v>
      </c>
      <c r="G2" s="2">
        <f t="shared" ref="G2:G65" si="1">D2*1440</f>
        <v>826.35</v>
      </c>
      <c r="H2" s="2">
        <f t="shared" ref="H2:H65" si="2">SUM(F2+G2)</f>
        <v>18106.349999999999</v>
      </c>
    </row>
    <row r="3" spans="1:9" ht="15.6">
      <c r="A3" s="3" t="s">
        <v>7</v>
      </c>
      <c r="B3" t="s">
        <v>55</v>
      </c>
      <c r="C3">
        <v>10</v>
      </c>
      <c r="D3" s="11">
        <v>0.89700231481481485</v>
      </c>
      <c r="E3" s="4">
        <f>SUMIF(B$1:B$70,"BAI*",H$1:H$70)</f>
        <v>477.6</v>
      </c>
      <c r="F3" s="2">
        <f t="shared" si="0"/>
        <v>14400</v>
      </c>
      <c r="G3" s="2">
        <f t="shared" si="1"/>
        <v>1291.6833333333334</v>
      </c>
      <c r="H3" s="2">
        <f t="shared" si="2"/>
        <v>15691.683333333334</v>
      </c>
      <c r="I3" s="8"/>
    </row>
    <row r="4" spans="1:9" ht="15.6">
      <c r="A4" s="3" t="s">
        <v>5</v>
      </c>
      <c r="B4" t="s">
        <v>56</v>
      </c>
      <c r="C4">
        <v>10</v>
      </c>
      <c r="D4" s="11">
        <v>0.5279166666666667</v>
      </c>
      <c r="E4" s="4">
        <f>SUMIF(B$1:B$70,"BCL*",H$1:H$70)</f>
        <v>1235.0333333333333</v>
      </c>
      <c r="F4" s="2">
        <f t="shared" si="0"/>
        <v>14400</v>
      </c>
      <c r="G4" s="2">
        <f t="shared" si="1"/>
        <v>760.2</v>
      </c>
      <c r="H4" s="2">
        <f t="shared" si="2"/>
        <v>15160.2</v>
      </c>
    </row>
    <row r="5" spans="1:9" ht="15.6">
      <c r="A5" s="3" t="s">
        <v>40</v>
      </c>
      <c r="B5" t="s">
        <v>57</v>
      </c>
      <c r="C5">
        <v>8</v>
      </c>
      <c r="D5" s="12">
        <v>0.91578703703703701</v>
      </c>
      <c r="E5" s="4">
        <f>SUMIF(B$1:B$70,"BON*",H$1:H$70)</f>
        <v>752.46666666666658</v>
      </c>
      <c r="F5" s="2">
        <f t="shared" si="0"/>
        <v>11520</v>
      </c>
      <c r="G5" s="2">
        <f t="shared" si="1"/>
        <v>1318.7333333333333</v>
      </c>
      <c r="H5" s="2">
        <f t="shared" si="2"/>
        <v>12838.733333333334</v>
      </c>
    </row>
    <row r="6" spans="1:9" ht="15.6">
      <c r="A6" s="3" t="s">
        <v>27</v>
      </c>
      <c r="B6" t="s">
        <v>58</v>
      </c>
      <c r="C6">
        <v>7</v>
      </c>
      <c r="D6" s="11">
        <v>0.9981712962962962</v>
      </c>
      <c r="E6" s="4">
        <f>SUMIF(B$1:B$70,"COL*",H$1:H$70)</f>
        <v>931</v>
      </c>
      <c r="F6" s="2">
        <f t="shared" si="0"/>
        <v>10080</v>
      </c>
      <c r="G6" s="2">
        <f t="shared" si="1"/>
        <v>1437.3666666666666</v>
      </c>
      <c r="H6" s="2">
        <f t="shared" si="2"/>
        <v>11517.366666666667</v>
      </c>
    </row>
    <row r="7" spans="1:9" ht="15.6">
      <c r="A7" s="3"/>
      <c r="B7" t="s">
        <v>59</v>
      </c>
      <c r="C7">
        <v>7</v>
      </c>
      <c r="D7" s="11">
        <v>0.70322916666666668</v>
      </c>
      <c r="E7" s="4"/>
      <c r="F7" s="2">
        <f t="shared" si="0"/>
        <v>10080</v>
      </c>
      <c r="G7" s="2">
        <f t="shared" si="1"/>
        <v>1012.65</v>
      </c>
      <c r="H7" s="2">
        <f t="shared" si="2"/>
        <v>11092.65</v>
      </c>
    </row>
    <row r="8" spans="1:9" ht="15.6">
      <c r="A8" s="3" t="s">
        <v>6</v>
      </c>
      <c r="B8" t="s">
        <v>60</v>
      </c>
      <c r="C8">
        <v>5</v>
      </c>
      <c r="D8" s="11">
        <v>0.87565972222222221</v>
      </c>
      <c r="E8" s="4">
        <f>SUMIF(B$1:B$70,"CPL*",H$1:H70)</f>
        <v>5832.4833333333336</v>
      </c>
      <c r="F8" s="2">
        <f t="shared" si="0"/>
        <v>7200</v>
      </c>
      <c r="G8" s="2">
        <f t="shared" si="1"/>
        <v>1260.95</v>
      </c>
      <c r="H8" s="2">
        <f t="shared" si="2"/>
        <v>8460.9500000000007</v>
      </c>
    </row>
    <row r="9" spans="1:9" ht="15.6">
      <c r="A9" s="3" t="s">
        <v>28</v>
      </c>
      <c r="B9" t="s">
        <v>61</v>
      </c>
      <c r="C9">
        <v>5</v>
      </c>
      <c r="D9" s="11">
        <v>0.30436342592592591</v>
      </c>
      <c r="E9" s="4">
        <f>SUMIF(B$1:B$70,"CRI*",H$1:H$70)</f>
        <v>2370.0166666666664</v>
      </c>
      <c r="F9" s="2">
        <f t="shared" si="0"/>
        <v>7200</v>
      </c>
      <c r="G9" s="2">
        <f t="shared" si="1"/>
        <v>438.2833333333333</v>
      </c>
      <c r="H9" s="2">
        <f t="shared" si="2"/>
        <v>7638.2833333333328</v>
      </c>
    </row>
    <row r="10" spans="1:9" ht="15.6">
      <c r="A10" s="3" t="s">
        <v>10</v>
      </c>
      <c r="B10" t="s">
        <v>62</v>
      </c>
      <c r="C10">
        <v>4</v>
      </c>
      <c r="D10" s="11">
        <v>0.88505787037037031</v>
      </c>
      <c r="E10" s="4">
        <f>SUMIF(B$1:B$70,"FIS*",H$1:H$70)</f>
        <v>483.35</v>
      </c>
      <c r="F10" s="2">
        <f t="shared" si="0"/>
        <v>5760</v>
      </c>
      <c r="G10" s="2">
        <f t="shared" si="1"/>
        <v>1274.4833333333333</v>
      </c>
      <c r="H10" s="2">
        <f t="shared" si="2"/>
        <v>7034.4833333333336</v>
      </c>
    </row>
    <row r="11" spans="1:9" ht="15.6">
      <c r="A11" s="3" t="s">
        <v>15</v>
      </c>
      <c r="B11" t="s">
        <v>63</v>
      </c>
      <c r="C11">
        <v>4</v>
      </c>
      <c r="D11" s="11">
        <v>4.9097222222222216E-2</v>
      </c>
      <c r="E11" s="4">
        <f ca="1">SUMIF(B$1:B$570,"FLO*",H$1:H$70)</f>
        <v>689.5333333333333</v>
      </c>
      <c r="F11" s="2">
        <f t="shared" si="0"/>
        <v>5760</v>
      </c>
      <c r="G11" s="2">
        <f t="shared" si="1"/>
        <v>70.699999999999989</v>
      </c>
      <c r="H11" s="2">
        <f t="shared" si="2"/>
        <v>5830.7</v>
      </c>
    </row>
    <row r="12" spans="1:9" ht="15.6">
      <c r="A12" s="3" t="s">
        <v>16</v>
      </c>
      <c r="B12" t="s">
        <v>64</v>
      </c>
      <c r="C12">
        <v>4</v>
      </c>
      <c r="D12" s="11">
        <v>5.033564814814815E-2</v>
      </c>
      <c r="E12" s="4">
        <f>SUMIF(B$1:B$70,"FPL*",H$1:H$70)</f>
        <v>3246.8833333333332</v>
      </c>
      <c r="F12" s="2">
        <f t="shared" si="0"/>
        <v>5760</v>
      </c>
      <c r="G12" s="2">
        <f t="shared" si="1"/>
        <v>72.483333333333334</v>
      </c>
      <c r="H12" s="2">
        <f t="shared" si="2"/>
        <v>5832.4833333333336</v>
      </c>
    </row>
    <row r="13" spans="1:9" ht="15.6">
      <c r="A13" s="3" t="s">
        <v>17</v>
      </c>
      <c r="B13" t="s">
        <v>65</v>
      </c>
      <c r="C13">
        <v>2</v>
      </c>
      <c r="D13" s="11">
        <v>0.43688657407407411</v>
      </c>
      <c r="E13" s="4">
        <f>SUMIF(B$1:B$70,"GIL*",H$1:H$70)</f>
        <v>5512.6333333333332</v>
      </c>
      <c r="F13" s="2">
        <f t="shared" si="0"/>
        <v>2880</v>
      </c>
      <c r="G13" s="2">
        <f t="shared" si="1"/>
        <v>629.11666666666667</v>
      </c>
      <c r="H13" s="2">
        <f t="shared" si="2"/>
        <v>3509.1166666666668</v>
      </c>
    </row>
    <row r="14" spans="1:9" ht="15.6">
      <c r="A14" s="3" t="s">
        <v>18</v>
      </c>
      <c r="B14" t="s">
        <v>66</v>
      </c>
      <c r="C14">
        <v>3</v>
      </c>
      <c r="D14" s="12">
        <v>0.82821759259259264</v>
      </c>
      <c r="E14" s="4">
        <f>SUMIF(B$1:B$70,"HPL*",H$1:H$70)</f>
        <v>2869.583333333333</v>
      </c>
      <c r="F14" s="2">
        <f t="shared" si="0"/>
        <v>4320</v>
      </c>
      <c r="G14" s="2">
        <f t="shared" si="1"/>
        <v>1192.6333333333334</v>
      </c>
      <c r="H14" s="2">
        <f t="shared" si="2"/>
        <v>5512.6333333333332</v>
      </c>
    </row>
    <row r="15" spans="1:9" ht="15.6">
      <c r="A15" s="3" t="s">
        <v>19</v>
      </c>
      <c r="B15" t="s">
        <v>67</v>
      </c>
      <c r="C15">
        <v>3</v>
      </c>
      <c r="D15" s="11">
        <v>0.74144675925925929</v>
      </c>
      <c r="E15" s="4">
        <f>SUMIF(B$1:B$70,"IVL*",H$1:H$70)</f>
        <v>15691.683333333334</v>
      </c>
      <c r="F15" s="2">
        <f t="shared" si="0"/>
        <v>4320</v>
      </c>
      <c r="G15" s="2">
        <f t="shared" si="1"/>
        <v>1067.6833333333334</v>
      </c>
      <c r="H15" s="2">
        <f t="shared" si="2"/>
        <v>5387.6833333333334</v>
      </c>
    </row>
    <row r="16" spans="1:9" ht="15.6">
      <c r="A16" s="3"/>
      <c r="B16" t="s">
        <v>68</v>
      </c>
      <c r="C16">
        <v>3</v>
      </c>
      <c r="D16" s="11">
        <v>0.70754629629629628</v>
      </c>
      <c r="E16" s="4"/>
      <c r="F16" s="2">
        <f t="shared" si="0"/>
        <v>4320</v>
      </c>
      <c r="G16" s="2">
        <f t="shared" si="1"/>
        <v>1018.8666666666667</v>
      </c>
      <c r="H16" s="2">
        <f t="shared" si="2"/>
        <v>5338.8666666666668</v>
      </c>
    </row>
    <row r="17" spans="1:9">
      <c r="B17" t="s">
        <v>69</v>
      </c>
      <c r="C17">
        <v>3</v>
      </c>
      <c r="D17" s="11">
        <v>0.46486111111111111</v>
      </c>
      <c r="F17" s="2">
        <f t="shared" si="0"/>
        <v>4320</v>
      </c>
      <c r="G17" s="2">
        <f t="shared" si="1"/>
        <v>669.4</v>
      </c>
      <c r="H17" s="2">
        <f t="shared" si="2"/>
        <v>4989.3999999999996</v>
      </c>
    </row>
    <row r="18" spans="1:9" ht="15.6">
      <c r="A18" s="3" t="s">
        <v>20</v>
      </c>
      <c r="B18" t="s">
        <v>70</v>
      </c>
      <c r="C18">
        <v>3</v>
      </c>
      <c r="D18" s="11">
        <v>0.23293981481481482</v>
      </c>
      <c r="E18" s="4">
        <f>SUMIF(B$1:B$70,"KAU*",H$1:H$70)</f>
        <v>16891.55</v>
      </c>
      <c r="F18" s="2">
        <f t="shared" si="0"/>
        <v>4320</v>
      </c>
      <c r="G18" s="2">
        <f t="shared" si="1"/>
        <v>335.43333333333334</v>
      </c>
      <c r="H18" s="2">
        <f t="shared" si="2"/>
        <v>4655.4333333333334</v>
      </c>
    </row>
    <row r="19" spans="1:9" ht="15.6">
      <c r="A19" s="3" t="s">
        <v>21</v>
      </c>
      <c r="B19" t="s">
        <v>71</v>
      </c>
      <c r="C19">
        <v>3</v>
      </c>
      <c r="D19" s="11">
        <v>9.3807870370370375E-2</v>
      </c>
      <c r="E19" s="4">
        <f>SUMIF(B$1:B$70,"KEW*",H$1:H$70)</f>
        <v>5338.8666666666668</v>
      </c>
      <c r="F19" s="2">
        <f t="shared" si="0"/>
        <v>4320</v>
      </c>
      <c r="G19" s="2">
        <f t="shared" si="1"/>
        <v>135.08333333333334</v>
      </c>
      <c r="H19" s="2">
        <f t="shared" si="2"/>
        <v>4455.083333333333</v>
      </c>
    </row>
    <row r="20" spans="1:9" ht="15.6">
      <c r="A20" s="3" t="s">
        <v>22</v>
      </c>
      <c r="B20" t="s">
        <v>72</v>
      </c>
      <c r="C20">
        <v>3</v>
      </c>
      <c r="D20" s="11">
        <v>7.0659722222222221E-2</v>
      </c>
      <c r="E20" s="4">
        <f>SUMIF(B$1:B$70,"KIM*",H$1:H$70)</f>
        <v>8460.9500000000007</v>
      </c>
      <c r="F20" s="2">
        <f t="shared" si="0"/>
        <v>4320</v>
      </c>
      <c r="G20" s="2">
        <f t="shared" si="1"/>
        <v>101.75</v>
      </c>
      <c r="H20" s="2">
        <f t="shared" si="2"/>
        <v>4421.75</v>
      </c>
    </row>
    <row r="21" spans="1:9" ht="15.6">
      <c r="A21" s="3" t="s">
        <v>24</v>
      </c>
      <c r="B21" t="s">
        <v>73</v>
      </c>
      <c r="C21">
        <v>3</v>
      </c>
      <c r="D21" s="11">
        <v>8.5358796296296294E-2</v>
      </c>
      <c r="E21" s="4">
        <f>SUMIF(B$1:B$70,"LAK*",H$1:H$70)</f>
        <v>4455.083333333333</v>
      </c>
      <c r="F21" s="2">
        <f t="shared" si="0"/>
        <v>4320</v>
      </c>
      <c r="G21" s="2">
        <f t="shared" si="1"/>
        <v>122.91666666666666</v>
      </c>
      <c r="H21" s="2">
        <f t="shared" si="2"/>
        <v>4442.916666666667</v>
      </c>
    </row>
    <row r="22" spans="1:9" ht="15.6">
      <c r="A22" s="3" t="s">
        <v>25</v>
      </c>
      <c r="B22" t="s">
        <v>74</v>
      </c>
      <c r="C22">
        <v>2</v>
      </c>
      <c r="D22" s="11">
        <v>0.3285763888888889</v>
      </c>
      <c r="E22" s="4">
        <f>SUMIF(B$1:B$70,"LEN*",H$1:H$70)</f>
        <v>1362.4166666666667</v>
      </c>
      <c r="F22" s="2">
        <f t="shared" si="0"/>
        <v>2880</v>
      </c>
      <c r="G22" s="2">
        <f t="shared" si="1"/>
        <v>473.15000000000003</v>
      </c>
      <c r="H22" s="2">
        <f t="shared" si="2"/>
        <v>3353.15</v>
      </c>
    </row>
    <row r="23" spans="1:9" ht="15.6">
      <c r="A23" s="3" t="s">
        <v>23</v>
      </c>
      <c r="B23" t="s">
        <v>75</v>
      </c>
      <c r="C23">
        <v>2</v>
      </c>
      <c r="D23" s="11">
        <v>0.2547800925925926</v>
      </c>
      <c r="E23" s="4">
        <f>SUMIF(B$1:B$70,"LIT*",H$1:H$70)</f>
        <v>11092.65</v>
      </c>
      <c r="F23" s="2">
        <f t="shared" si="0"/>
        <v>2880</v>
      </c>
      <c r="G23" s="2">
        <f t="shared" si="1"/>
        <v>366.88333333333333</v>
      </c>
      <c r="H23" s="2">
        <f t="shared" si="2"/>
        <v>3246.8833333333332</v>
      </c>
    </row>
    <row r="24" spans="1:9" ht="15.6">
      <c r="A24" s="3" t="s">
        <v>26</v>
      </c>
      <c r="B24" t="s">
        <v>76</v>
      </c>
      <c r="C24">
        <v>1</v>
      </c>
      <c r="D24" s="11">
        <v>0.99276620370370372</v>
      </c>
      <c r="E24" s="4">
        <f>SUMIF(B$1:B$70,"MAN*",H$1:H$70)</f>
        <v>4989.3999999999996</v>
      </c>
      <c r="F24" s="2">
        <f t="shared" si="0"/>
        <v>1440</v>
      </c>
      <c r="G24" s="2">
        <f t="shared" si="1"/>
        <v>1429.5833333333333</v>
      </c>
      <c r="H24" s="2">
        <f t="shared" si="2"/>
        <v>2869.583333333333</v>
      </c>
    </row>
    <row r="25" spans="1:9" ht="15.6">
      <c r="A25" s="3" t="s">
        <v>33</v>
      </c>
      <c r="B25" t="s">
        <v>77</v>
      </c>
      <c r="C25">
        <v>1</v>
      </c>
      <c r="D25" s="11">
        <v>0.87623842592592593</v>
      </c>
      <c r="E25" s="4">
        <f>SUMIF(B$1:B$70,"MAR*",H$1:H$70)</f>
        <v>1707.8666666666666</v>
      </c>
      <c r="F25" s="2">
        <f t="shared" si="0"/>
        <v>1440</v>
      </c>
      <c r="G25" s="2">
        <f t="shared" si="1"/>
        <v>1261.7833333333333</v>
      </c>
      <c r="H25" s="2">
        <f t="shared" si="2"/>
        <v>2701.7833333333333</v>
      </c>
    </row>
    <row r="26" spans="1:9" ht="15.6">
      <c r="A26" s="3" t="s">
        <v>41</v>
      </c>
      <c r="B26" t="s">
        <v>78</v>
      </c>
      <c r="C26">
        <v>1</v>
      </c>
      <c r="D26" s="11">
        <v>0.64584490740740741</v>
      </c>
      <c r="E26" s="4">
        <f>SUMIF(B$1:B$70,"MAT*",H$1:H$70)</f>
        <v>0</v>
      </c>
      <c r="F26" s="2">
        <f t="shared" si="0"/>
        <v>1440</v>
      </c>
      <c r="G26" s="2">
        <f t="shared" si="1"/>
        <v>930.01666666666665</v>
      </c>
      <c r="H26" s="2">
        <f t="shared" si="2"/>
        <v>2370.0166666666664</v>
      </c>
    </row>
    <row r="27" spans="1:9" ht="15.6">
      <c r="A27" s="3" t="s">
        <v>29</v>
      </c>
      <c r="B27" t="s">
        <v>79</v>
      </c>
      <c r="C27">
        <v>1</v>
      </c>
      <c r="D27" s="11">
        <v>0.44378472222222221</v>
      </c>
      <c r="E27" s="4">
        <f>SUMIF(B$1:B$70,"MRT*",H$1:H$70)</f>
        <v>12838.733333333334</v>
      </c>
      <c r="F27" s="2">
        <f t="shared" si="0"/>
        <v>1440</v>
      </c>
      <c r="G27" s="2">
        <f t="shared" si="1"/>
        <v>639.04999999999995</v>
      </c>
      <c r="H27" s="2">
        <f t="shared" si="2"/>
        <v>2079.0500000000002</v>
      </c>
    </row>
    <row r="28" spans="1:9" ht="15.6">
      <c r="A28" s="3" t="s">
        <v>30</v>
      </c>
      <c r="B28" t="s">
        <v>80</v>
      </c>
      <c r="C28">
        <v>1</v>
      </c>
      <c r="D28" s="11">
        <v>0.1860185185185185</v>
      </c>
      <c r="E28" s="4">
        <f>SUMIF(B$1:B$70,"NIA*",H$1:H$70)</f>
        <v>1058.3833333333334</v>
      </c>
      <c r="F28" s="2">
        <f t="shared" si="0"/>
        <v>1440</v>
      </c>
      <c r="G28" s="2">
        <f t="shared" si="1"/>
        <v>267.86666666666662</v>
      </c>
      <c r="H28" s="2">
        <f t="shared" si="2"/>
        <v>1707.8666666666666</v>
      </c>
    </row>
    <row r="29" spans="1:9" ht="15.6">
      <c r="A29" s="3" t="s">
        <v>35</v>
      </c>
      <c r="B29" t="s">
        <v>81</v>
      </c>
      <c r="C29">
        <v>1</v>
      </c>
      <c r="D29" s="11">
        <v>0.12546296296296297</v>
      </c>
      <c r="E29" s="4">
        <f>SUMIF(B$1:B$70,"OCF*",H$1:H$70)</f>
        <v>7034.4833333333336</v>
      </c>
      <c r="F29" s="2">
        <f t="shared" si="0"/>
        <v>1440</v>
      </c>
      <c r="G29" s="2">
        <f t="shared" si="1"/>
        <v>180.66666666666669</v>
      </c>
      <c r="H29" s="2">
        <f t="shared" si="2"/>
        <v>1620.6666666666667</v>
      </c>
    </row>
    <row r="30" spans="1:9" ht="15.6">
      <c r="A30" s="3" t="s">
        <v>34</v>
      </c>
      <c r="B30" t="s">
        <v>82</v>
      </c>
      <c r="C30">
        <v>1</v>
      </c>
      <c r="D30" s="11">
        <v>0.10730324074074075</v>
      </c>
      <c r="E30" s="4">
        <f>SUMIF(B$1:B$70,"OCO*",H$1:H$70)</f>
        <v>7638.2833333333328</v>
      </c>
      <c r="F30" s="2">
        <f t="shared" si="0"/>
        <v>1440</v>
      </c>
      <c r="G30" s="2">
        <f t="shared" si="1"/>
        <v>154.51666666666668</v>
      </c>
      <c r="H30" s="2">
        <f t="shared" si="2"/>
        <v>1594.5166666666667</v>
      </c>
    </row>
    <row r="31" spans="1:9" ht="15.6">
      <c r="A31" s="3" t="s">
        <v>36</v>
      </c>
      <c r="B31" t="s">
        <v>83</v>
      </c>
      <c r="C31">
        <v>0</v>
      </c>
      <c r="D31" s="11">
        <v>0.94612268518518527</v>
      </c>
      <c r="E31" s="4">
        <f>SUMIF(B$1:B$70,"ON2*",H$1:H$70)</f>
        <v>2079.0500000000002</v>
      </c>
      <c r="F31" s="2">
        <f t="shared" si="0"/>
        <v>0</v>
      </c>
      <c r="G31" s="2">
        <f t="shared" si="1"/>
        <v>1362.4166666666667</v>
      </c>
      <c r="H31" s="2">
        <f t="shared" si="2"/>
        <v>1362.4166666666667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0.85766203703703703</v>
      </c>
      <c r="E32" s="4">
        <f>SUMIF(B$1:B$70,"ONE*",H$1:H$70)</f>
        <v>3509.1166666666668</v>
      </c>
      <c r="F32" s="2">
        <f t="shared" si="0"/>
        <v>0</v>
      </c>
      <c r="G32" s="2">
        <f t="shared" si="1"/>
        <v>1235.0333333333333</v>
      </c>
      <c r="H32" s="2">
        <f t="shared" si="2"/>
        <v>1235.0333333333333</v>
      </c>
    </row>
    <row r="33" spans="1:9">
      <c r="B33" t="s">
        <v>85</v>
      </c>
      <c r="C33">
        <v>0</v>
      </c>
      <c r="D33" s="11">
        <v>0.82208333333333339</v>
      </c>
      <c r="F33" s="2">
        <f t="shared" si="0"/>
        <v>0</v>
      </c>
      <c r="G33" s="2">
        <f t="shared" si="1"/>
        <v>1183.8000000000002</v>
      </c>
      <c r="H33" s="2">
        <f t="shared" si="2"/>
        <v>1183.8000000000002</v>
      </c>
    </row>
    <row r="34" spans="1:9" ht="15.6">
      <c r="A34" s="3" t="s">
        <v>31</v>
      </c>
      <c r="B34" t="s">
        <v>86</v>
      </c>
      <c r="C34">
        <v>0</v>
      </c>
      <c r="D34" s="11">
        <v>0.67997685185185175</v>
      </c>
      <c r="E34" s="4">
        <f>SUMIF(B$1:B$70,"PES*",H$1:H$70)</f>
        <v>1620.6666666666667</v>
      </c>
      <c r="F34" s="2">
        <f t="shared" si="0"/>
        <v>0</v>
      </c>
      <c r="G34" s="2">
        <f t="shared" si="1"/>
        <v>979.16666666666652</v>
      </c>
      <c r="H34" s="2">
        <f t="shared" si="2"/>
        <v>979.16666666666652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0.73498842592592595</v>
      </c>
      <c r="E35" s="4">
        <f>SUMIF(B$1:B$70,"SCA*",H$1:H$70)</f>
        <v>0</v>
      </c>
      <c r="F35" s="2">
        <f t="shared" si="0"/>
        <v>0</v>
      </c>
      <c r="G35" s="2">
        <f t="shared" si="1"/>
        <v>1058.3833333333334</v>
      </c>
      <c r="H35" s="2">
        <f t="shared" si="2"/>
        <v>1058.3833333333334</v>
      </c>
    </row>
    <row r="36" spans="1:9">
      <c r="B36" t="s">
        <v>88</v>
      </c>
      <c r="C36">
        <v>0</v>
      </c>
      <c r="D36" s="12">
        <v>0.65478009259259262</v>
      </c>
      <c r="F36" s="2">
        <f t="shared" si="0"/>
        <v>0</v>
      </c>
      <c r="G36" s="2">
        <f t="shared" si="1"/>
        <v>942.88333333333333</v>
      </c>
      <c r="H36" s="2">
        <f t="shared" si="2"/>
        <v>942.88333333333333</v>
      </c>
    </row>
    <row r="37" spans="1:9" ht="15.6">
      <c r="A37" s="3" t="s">
        <v>39</v>
      </c>
      <c r="B37" t="s">
        <v>89</v>
      </c>
      <c r="C37">
        <v>0</v>
      </c>
      <c r="D37" s="11">
        <v>0.64652777777777781</v>
      </c>
      <c r="E37" s="4">
        <f>SUMIF(B$1:B$70,"SEY*",H$1:H$70)</f>
        <v>5387.6833333333334</v>
      </c>
      <c r="F37" s="2">
        <f t="shared" si="0"/>
        <v>0</v>
      </c>
      <c r="G37" s="2">
        <f t="shared" si="1"/>
        <v>931</v>
      </c>
      <c r="H37" s="2">
        <f t="shared" si="2"/>
        <v>931</v>
      </c>
      <c r="I37" s="8"/>
    </row>
    <row r="38" spans="1:9">
      <c r="B38" t="s">
        <v>90</v>
      </c>
      <c r="C38">
        <v>0</v>
      </c>
      <c r="D38" s="11">
        <v>0.64671296296296299</v>
      </c>
      <c r="F38" s="2">
        <f t="shared" si="0"/>
        <v>0</v>
      </c>
      <c r="G38" s="2">
        <f t="shared" si="1"/>
        <v>931.26666666666665</v>
      </c>
      <c r="H38" s="2">
        <f t="shared" si="2"/>
        <v>931.26666666666665</v>
      </c>
    </row>
    <row r="39" spans="1:9" ht="15.6">
      <c r="A39" s="3" t="s">
        <v>42</v>
      </c>
      <c r="B39" t="s">
        <v>91</v>
      </c>
      <c r="C39">
        <v>0</v>
      </c>
      <c r="D39" s="11">
        <v>0.4788425925925926</v>
      </c>
      <c r="E39" s="4">
        <f>SUMIF(B$1:B$70,"SHA*",H$1:H$70)</f>
        <v>18342.583333333332</v>
      </c>
      <c r="F39" s="2">
        <f t="shared" si="0"/>
        <v>0</v>
      </c>
      <c r="G39" s="2">
        <f t="shared" si="1"/>
        <v>689.5333333333333</v>
      </c>
      <c r="H39" s="2">
        <f t="shared" si="2"/>
        <v>689.5333333333333</v>
      </c>
    </row>
    <row r="40" spans="1:9" ht="15.6">
      <c r="A40" s="3" t="s">
        <v>45</v>
      </c>
      <c r="B40" t="s">
        <v>92</v>
      </c>
      <c r="C40">
        <v>0</v>
      </c>
      <c r="D40" s="11">
        <v>0.59957175925925921</v>
      </c>
      <c r="E40" s="4">
        <f>SUMIF(B$1:B$70,"SHI*",H$1:H$70)</f>
        <v>61.900000000000006</v>
      </c>
      <c r="F40" s="2">
        <f t="shared" si="0"/>
        <v>0</v>
      </c>
      <c r="G40" s="2">
        <f t="shared" si="1"/>
        <v>863.38333333333321</v>
      </c>
      <c r="H40" s="2">
        <f t="shared" si="2"/>
        <v>863.38333333333321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0.52254629629629623</v>
      </c>
      <c r="E41" s="4">
        <f>SUMIF(B$1:B$70,"SIS*",H$1:H$70)</f>
        <v>2701.7833333333333</v>
      </c>
      <c r="F41" s="2">
        <f t="shared" si="0"/>
        <v>0</v>
      </c>
      <c r="G41" s="2">
        <f t="shared" si="1"/>
        <v>752.46666666666658</v>
      </c>
      <c r="H41" s="2">
        <f t="shared" si="2"/>
        <v>752.46666666666658</v>
      </c>
    </row>
    <row r="42" spans="1:9" ht="15.6">
      <c r="A42" s="3" t="s">
        <v>13</v>
      </c>
      <c r="B42" t="s">
        <v>94</v>
      </c>
      <c r="C42">
        <v>0</v>
      </c>
      <c r="D42" s="11">
        <v>0.50637731481481485</v>
      </c>
      <c r="E42" s="4">
        <f>SUMIF(B$1:B$70,"STR*",H$1:H$70)</f>
        <v>19545.849999999999</v>
      </c>
      <c r="F42" s="2">
        <f t="shared" si="0"/>
        <v>0</v>
      </c>
      <c r="G42" s="2">
        <f t="shared" si="1"/>
        <v>729.18333333333339</v>
      </c>
      <c r="H42" s="2">
        <f t="shared" si="2"/>
        <v>729.18333333333339</v>
      </c>
    </row>
    <row r="43" spans="1:9" ht="15.6">
      <c r="A43" s="3" t="s">
        <v>46</v>
      </c>
      <c r="B43" t="s">
        <v>95</v>
      </c>
      <c r="C43">
        <v>0</v>
      </c>
      <c r="D43" s="11">
        <v>0.49296296296296299</v>
      </c>
      <c r="E43" s="4">
        <f>SUMIF(B$1:B$70,"SUR*",H$1:H$70)</f>
        <v>1183.8000000000002</v>
      </c>
      <c r="F43" s="2">
        <f t="shared" si="0"/>
        <v>0</v>
      </c>
      <c r="G43" s="2">
        <f t="shared" si="1"/>
        <v>709.86666666666667</v>
      </c>
      <c r="H43" s="2">
        <f t="shared" si="2"/>
        <v>709.86666666666667</v>
      </c>
    </row>
    <row r="44" spans="1:9" ht="15.6">
      <c r="A44" s="3" t="s">
        <v>43</v>
      </c>
      <c r="B44" t="s">
        <v>96</v>
      </c>
      <c r="C44">
        <v>0</v>
      </c>
      <c r="D44" s="11">
        <v>0.4430439814814815</v>
      </c>
      <c r="E44" s="4">
        <f>SUMIF(B$1:B$70,"TIG*",H$1:H$70)</f>
        <v>4421.75</v>
      </c>
      <c r="F44" s="2">
        <f t="shared" si="0"/>
        <v>0</v>
      </c>
      <c r="G44" s="2">
        <f t="shared" si="1"/>
        <v>637.98333333333335</v>
      </c>
      <c r="H44" s="2">
        <f t="shared" si="2"/>
        <v>637.98333333333335</v>
      </c>
    </row>
    <row r="45" spans="1:9" ht="15.6">
      <c r="A45" s="3" t="s">
        <v>32</v>
      </c>
      <c r="B45" t="s">
        <v>97</v>
      </c>
      <c r="C45">
        <v>0</v>
      </c>
      <c r="D45" s="11">
        <v>0.33565972222222223</v>
      </c>
      <c r="E45" s="4">
        <f>SUMIF(B$1:B$70,"WAS*",H$1:H$70)</f>
        <v>3353.15</v>
      </c>
      <c r="F45" s="2">
        <f t="shared" si="0"/>
        <v>0</v>
      </c>
      <c r="G45" s="2">
        <f t="shared" si="1"/>
        <v>483.35</v>
      </c>
      <c r="H45" s="2">
        <f t="shared" si="2"/>
        <v>483.35</v>
      </c>
    </row>
    <row r="46" spans="1:9" ht="15.6">
      <c r="A46" s="3"/>
      <c r="B46" t="s">
        <v>98</v>
      </c>
      <c r="C46">
        <v>0</v>
      </c>
      <c r="D46" s="11">
        <v>0.33166666666666667</v>
      </c>
      <c r="E46" s="4"/>
      <c r="F46" s="2">
        <f t="shared" si="0"/>
        <v>0</v>
      </c>
      <c r="G46" s="2">
        <f t="shared" si="1"/>
        <v>477.6</v>
      </c>
      <c r="H46" s="2">
        <f t="shared" si="2"/>
        <v>477.6</v>
      </c>
    </row>
    <row r="47" spans="1:9" ht="15.6">
      <c r="A47" s="3"/>
      <c r="B47" t="s">
        <v>99</v>
      </c>
      <c r="C47">
        <v>0</v>
      </c>
      <c r="D47" s="12">
        <v>0.15760416666666668</v>
      </c>
      <c r="E47" s="4"/>
      <c r="F47" s="2">
        <f t="shared" si="0"/>
        <v>0</v>
      </c>
      <c r="G47" s="2">
        <f t="shared" si="1"/>
        <v>226.95000000000002</v>
      </c>
      <c r="H47" s="2">
        <f t="shared" si="2"/>
        <v>226.95000000000002</v>
      </c>
    </row>
    <row r="48" spans="1:9" ht="15.6">
      <c r="A48" s="3"/>
      <c r="B48" t="s">
        <v>100</v>
      </c>
      <c r="C48">
        <v>0</v>
      </c>
      <c r="D48" s="11">
        <v>0.27906249999999999</v>
      </c>
      <c r="E48" s="4"/>
      <c r="F48" s="2">
        <f t="shared" si="0"/>
        <v>0</v>
      </c>
      <c r="G48" s="2">
        <f t="shared" si="1"/>
        <v>401.84999999999997</v>
      </c>
      <c r="H48" s="2">
        <f t="shared" si="2"/>
        <v>401.84999999999997</v>
      </c>
    </row>
    <row r="49" spans="1:8" ht="15.6">
      <c r="A49" s="3" t="s">
        <v>47</v>
      </c>
      <c r="B49" t="s">
        <v>101</v>
      </c>
      <c r="C49">
        <v>0</v>
      </c>
      <c r="D49" s="11">
        <v>0.22447916666666667</v>
      </c>
      <c r="E49" s="4">
        <f>SUMIF(B$1:B$70,"WAU*",H$1:H$70)</f>
        <v>22120.016666666666</v>
      </c>
      <c r="F49" s="2">
        <f t="shared" si="0"/>
        <v>0</v>
      </c>
      <c r="G49" s="2">
        <f t="shared" si="1"/>
        <v>323.25</v>
      </c>
      <c r="H49" s="2">
        <f t="shared" si="2"/>
        <v>323.25</v>
      </c>
    </row>
    <row r="50" spans="1:8" ht="15.6">
      <c r="A50" s="3" t="s">
        <v>48</v>
      </c>
      <c r="B50" t="s">
        <v>102</v>
      </c>
      <c r="C50">
        <v>0</v>
      </c>
      <c r="D50" s="11">
        <v>0.16405092592592593</v>
      </c>
      <c r="E50" s="4">
        <f>SUMIF(B$1:B$70,"WEY*",H$1:H$70)</f>
        <v>942.88333333333333</v>
      </c>
      <c r="F50" s="2">
        <f t="shared" si="0"/>
        <v>0</v>
      </c>
      <c r="G50" s="2">
        <f t="shared" si="1"/>
        <v>236.23333333333335</v>
      </c>
      <c r="H50" s="2">
        <f t="shared" si="2"/>
        <v>236.23333333333335</v>
      </c>
    </row>
    <row r="51" spans="1:8" ht="15.6">
      <c r="A51" s="3" t="s">
        <v>44</v>
      </c>
      <c r="B51" t="s">
        <v>103</v>
      </c>
      <c r="C51">
        <v>0</v>
      </c>
      <c r="D51" s="12">
        <v>6.0520833333333329E-2</v>
      </c>
      <c r="E51" s="4">
        <f>SUMIF(B$1:B$70,"WIT*",H$1:H$70)</f>
        <v>323.25</v>
      </c>
      <c r="F51" s="2">
        <f t="shared" si="0"/>
        <v>0</v>
      </c>
      <c r="G51" s="2">
        <f t="shared" si="1"/>
        <v>87.149999999999991</v>
      </c>
      <c r="H51" s="2">
        <f t="shared" si="2"/>
        <v>87.149999999999991</v>
      </c>
    </row>
    <row r="52" spans="1:8" ht="15.6">
      <c r="A52" t="s">
        <v>8</v>
      </c>
      <c r="B52" t="s">
        <v>104</v>
      </c>
      <c r="C52">
        <v>0</v>
      </c>
      <c r="D52" s="12">
        <v>4.2986111111111114E-2</v>
      </c>
      <c r="E52" s="4">
        <f>SUMIF(B$1:B$70,"EGG*",H$1:H$70)</f>
        <v>1592.5666666666666</v>
      </c>
      <c r="F52" s="2">
        <f t="shared" si="0"/>
        <v>0</v>
      </c>
      <c r="G52" s="2">
        <f t="shared" si="1"/>
        <v>61.900000000000006</v>
      </c>
      <c r="H52" s="2">
        <f t="shared" si="2"/>
        <v>61.900000000000006</v>
      </c>
    </row>
    <row r="53" spans="1:8" ht="15.6">
      <c r="A53" s="3" t="s">
        <v>11</v>
      </c>
      <c r="D53" s="12"/>
      <c r="E53" s="4">
        <f>SUMIF(B$1:B$70,"FOR*",H$1:H$70)</f>
        <v>401.84999999999997</v>
      </c>
      <c r="F53" s="2">
        <f t="shared" si="0"/>
        <v>0</v>
      </c>
      <c r="G53" s="2">
        <f t="shared" si="1"/>
        <v>0</v>
      </c>
      <c r="H53" s="2">
        <f t="shared" si="2"/>
        <v>0</v>
      </c>
    </row>
    <row r="54" spans="1:8" ht="15.6">
      <c r="A54" s="3" t="s">
        <v>14</v>
      </c>
      <c r="D54" s="12"/>
      <c r="E54" s="4">
        <f>SUMIF(B$1:B$70,"WSH*",H$1:H$70)</f>
        <v>226.95000000000002</v>
      </c>
      <c r="F54" s="2">
        <f t="shared" si="0"/>
        <v>0</v>
      </c>
      <c r="G54" s="2">
        <f t="shared" si="1"/>
        <v>0</v>
      </c>
      <c r="H54" s="2">
        <f t="shared" si="2"/>
        <v>0</v>
      </c>
    </row>
    <row r="55" spans="1:8" ht="15.6">
      <c r="A55" s="3" t="s">
        <v>9</v>
      </c>
      <c r="D55" s="12"/>
      <c r="E55" s="4">
        <f>SUMIF(B$1:B$70,"EPH*",H$1:H$70)</f>
        <v>87.149999999999991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2023-06-01T15:53:17Z</cp:lastPrinted>
  <dcterms:created xsi:type="dcterms:W3CDTF">1996-12-17T01:32:42Z</dcterms:created>
  <dcterms:modified xsi:type="dcterms:W3CDTF">2023-06-01T15:53:30Z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