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3/"/>
    </mc:Choice>
  </mc:AlternateContent>
  <xr:revisionPtr revIDLastSave="8" documentId="8_{74518F01-591C-4A61-B3E3-B6EE4FFF6309}" xr6:coauthVersionLast="47" xr6:coauthVersionMax="47" xr10:uidLastSave="{1C722BDA-1027-4625-866E-2DC7DC65F97F}"/>
  <bookViews>
    <workbookView xWindow="28680" yWindow="-120" windowWidth="25440" windowHeight="15390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6" l="1"/>
  <c r="E26" i="6"/>
  <c r="B56" i="5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H58" i="6"/>
  <c r="H59" i="6"/>
  <c r="G56" i="6"/>
  <c r="G57" i="6"/>
  <c r="H57" i="6" s="1"/>
  <c r="G58" i="6"/>
  <c r="G59" i="6"/>
  <c r="G60" i="6"/>
  <c r="G61" i="6"/>
  <c r="G62" i="6"/>
  <c r="G63" i="6"/>
  <c r="G64" i="6"/>
  <c r="H64" i="6" s="1"/>
  <c r="G65" i="6"/>
  <c r="H65" i="6" s="1"/>
  <c r="F56" i="6"/>
  <c r="F57" i="6"/>
  <c r="F58" i="6"/>
  <c r="F59" i="6"/>
  <c r="F60" i="6"/>
  <c r="H60" i="6" s="1"/>
  <c r="F61" i="6"/>
  <c r="H61" i="6" s="1"/>
  <c r="F62" i="6"/>
  <c r="H62" i="6" s="1"/>
  <c r="F63" i="6"/>
  <c r="H63" i="6" s="1"/>
  <c r="F64" i="6"/>
  <c r="F65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H56" i="6" l="1"/>
  <c r="E4" i="4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/>
  <c r="G54" i="6"/>
  <c r="H54" i="6"/>
  <c r="E40" i="6" s="1"/>
  <c r="G53" i="6"/>
  <c r="H53" i="6"/>
  <c r="G52" i="6"/>
  <c r="H52" i="6" s="1"/>
  <c r="E55" i="6" s="1"/>
  <c r="G51" i="6"/>
  <c r="H51" i="6"/>
  <c r="E53" i="6" s="1"/>
  <c r="G50" i="6"/>
  <c r="H50" i="6"/>
  <c r="E43" i="6" s="1"/>
  <c r="G49" i="6"/>
  <c r="H49" i="6"/>
  <c r="E54" i="6" s="1"/>
  <c r="G48" i="6"/>
  <c r="H48" i="6" s="1"/>
  <c r="E10" i="6" s="1"/>
  <c r="G47" i="6"/>
  <c r="H47" i="6"/>
  <c r="G46" i="6"/>
  <c r="H46" i="6" s="1"/>
  <c r="G45" i="6"/>
  <c r="G44" i="6"/>
  <c r="G43" i="6"/>
  <c r="G42" i="6"/>
  <c r="G41" i="6"/>
  <c r="G40" i="6"/>
  <c r="G39" i="6"/>
  <c r="G38" i="6"/>
  <c r="G37" i="6"/>
  <c r="H37" i="6" s="1"/>
  <c r="G36" i="6"/>
  <c r="H36" i="6" s="1"/>
  <c r="H35" i="6"/>
  <c r="G35" i="6"/>
  <c r="G34" i="6"/>
  <c r="H34" i="6"/>
  <c r="C10" i="4" s="1"/>
  <c r="G10" i="4" s="1"/>
  <c r="G33" i="6"/>
  <c r="H33" i="6"/>
  <c r="G32" i="6"/>
  <c r="H32" i="6"/>
  <c r="G31" i="6"/>
  <c r="H31" i="6" s="1"/>
  <c r="G30" i="6"/>
  <c r="H30" i="6"/>
  <c r="E34" i="6" s="1"/>
  <c r="G29" i="6"/>
  <c r="H29" i="6"/>
  <c r="G28" i="6"/>
  <c r="G27" i="6"/>
  <c r="G26" i="6"/>
  <c r="G25" i="6"/>
  <c r="G24" i="6"/>
  <c r="G23" i="6"/>
  <c r="G22" i="6"/>
  <c r="G21" i="6"/>
  <c r="H21" i="6" s="1"/>
  <c r="G20" i="6"/>
  <c r="H20" i="6"/>
  <c r="G19" i="6"/>
  <c r="H19" i="6"/>
  <c r="E41" i="6" s="1"/>
  <c r="G18" i="6"/>
  <c r="H18" i="6" s="1"/>
  <c r="G17" i="6"/>
  <c r="H17" i="6" s="1"/>
  <c r="G16" i="6"/>
  <c r="H16" i="6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/>
  <c r="G5" i="6"/>
  <c r="H5" i="6"/>
  <c r="G4" i="6"/>
  <c r="H4" i="6" s="1"/>
  <c r="G3" i="6"/>
  <c r="H3" i="6" s="1"/>
  <c r="G2" i="6"/>
  <c r="H2" i="6" s="1"/>
  <c r="E23" i="6" s="1"/>
  <c r="G1" i="6"/>
  <c r="F1" i="6"/>
  <c r="A1" i="4"/>
  <c r="E52" i="6" l="1"/>
  <c r="C7" i="4" s="1"/>
  <c r="G7" i="4" s="1"/>
  <c r="E27" i="6"/>
  <c r="C9" i="4"/>
  <c r="G9" i="4" s="1"/>
  <c r="E6" i="6"/>
  <c r="C26" i="4" s="1"/>
  <c r="G26" i="4" s="1"/>
  <c r="E39" i="6"/>
  <c r="C41" i="4" s="1"/>
  <c r="G41" i="4" s="1"/>
  <c r="E24" i="6"/>
  <c r="E9" i="6"/>
  <c r="C27" i="4" s="1"/>
  <c r="G27" i="4" s="1"/>
  <c r="E44" i="6"/>
  <c r="E31" i="6"/>
  <c r="C35" i="4" s="1"/>
  <c r="G35" i="4" s="1"/>
  <c r="E49" i="6"/>
  <c r="C46" i="4" s="1"/>
  <c r="G46" i="4" s="1"/>
  <c r="E21" i="6"/>
  <c r="E50" i="6"/>
  <c r="C45" i="4"/>
  <c r="C37" i="4"/>
  <c r="E4" i="6"/>
  <c r="C4" i="4" s="1"/>
  <c r="G4" i="4" s="1"/>
  <c r="E20" i="6"/>
  <c r="C21" i="4" s="1"/>
  <c r="G21" i="4" s="1"/>
  <c r="E42" i="6"/>
  <c r="G45" i="4"/>
  <c r="E48" i="4"/>
  <c r="H1" i="6"/>
  <c r="H9" i="6"/>
  <c r="H12" i="6"/>
  <c r="H14" i="6"/>
  <c r="H22" i="6"/>
  <c r="H24" i="6"/>
  <c r="E19" i="6" s="1"/>
  <c r="H26" i="6"/>
  <c r="H28" i="6"/>
  <c r="C22" i="4" s="1"/>
  <c r="G22" i="4" s="1"/>
  <c r="H39" i="6"/>
  <c r="E45" i="6" s="1"/>
  <c r="H41" i="6"/>
  <c r="H43" i="6"/>
  <c r="E3" i="6" s="1"/>
  <c r="C6" i="4" s="1"/>
  <c r="G6" i="4" s="1"/>
  <c r="H45" i="6"/>
  <c r="H10" i="6"/>
  <c r="H13" i="6"/>
  <c r="H15" i="6"/>
  <c r="H23" i="6"/>
  <c r="E18" i="6" s="1"/>
  <c r="C19" i="4" s="1"/>
  <c r="G19" i="4" s="1"/>
  <c r="H25" i="6"/>
  <c r="H27" i="6"/>
  <c r="C31" i="4" s="1"/>
  <c r="G31" i="4" s="1"/>
  <c r="H38" i="6"/>
  <c r="E5" i="6" s="1"/>
  <c r="C39" i="4" s="1"/>
  <c r="G39" i="4" s="1"/>
  <c r="H40" i="6"/>
  <c r="E28" i="6" s="1"/>
  <c r="H42" i="6"/>
  <c r="H44" i="6"/>
  <c r="E25" i="6" s="1"/>
  <c r="C32" i="4" s="1"/>
  <c r="G32" i="4" s="1"/>
  <c r="B57" i="5"/>
  <c r="C40" i="4"/>
  <c r="C8" i="4"/>
  <c r="E1" i="6" l="1"/>
  <c r="C3" i="4" s="1"/>
  <c r="G3" i="4" s="1"/>
  <c r="C29" i="4"/>
  <c r="G29" i="4" s="1"/>
  <c r="E11" i="6"/>
  <c r="C14" i="4" s="1"/>
  <c r="G14" i="4" s="1"/>
  <c r="C47" i="4"/>
  <c r="G47" i="4" s="1"/>
  <c r="E32" i="6"/>
  <c r="C36" i="4" s="1"/>
  <c r="G36" i="4" s="1"/>
  <c r="C28" i="4"/>
  <c r="G28" i="4" s="1"/>
  <c r="E37" i="6"/>
  <c r="C38" i="4" s="1"/>
  <c r="G38" i="4" s="1"/>
  <c r="C44" i="4"/>
  <c r="G44" i="4" s="1"/>
  <c r="E12" i="6"/>
  <c r="C15" i="4" s="1"/>
  <c r="G15" i="4" s="1"/>
  <c r="C12" i="4"/>
  <c r="G12" i="4" s="1"/>
  <c r="E15" i="6"/>
  <c r="C18" i="4" s="1"/>
  <c r="G18" i="4" s="1"/>
  <c r="C25" i="4"/>
  <c r="G25" i="4" s="1"/>
  <c r="C23" i="4"/>
  <c r="G23" i="4" s="1"/>
  <c r="E29" i="6"/>
  <c r="C34" i="4" s="1"/>
  <c r="G34" i="4" s="1"/>
  <c r="C11" i="4"/>
  <c r="G11" i="4" s="1"/>
  <c r="E14" i="6"/>
  <c r="C17" i="4"/>
  <c r="G17" i="4" s="1"/>
  <c r="E22" i="6"/>
  <c r="C24" i="4" s="1"/>
  <c r="G24" i="4" s="1"/>
  <c r="C13" i="4"/>
  <c r="G13" i="4" s="1"/>
  <c r="E51" i="6"/>
  <c r="C43" i="4" s="1"/>
  <c r="G43" i="4" s="1"/>
  <c r="C30" i="4"/>
  <c r="G30" i="4" s="1"/>
  <c r="E13" i="6"/>
  <c r="C16" i="4" s="1"/>
  <c r="G16" i="4" s="1"/>
  <c r="C42" i="4"/>
  <c r="G42" i="4" s="1"/>
  <c r="E30" i="6"/>
  <c r="C33" i="4" s="1"/>
  <c r="G33" i="4" s="1"/>
  <c r="C20" i="4"/>
  <c r="G20" i="4" s="1"/>
  <c r="E8" i="6"/>
  <c r="C5" i="4" s="1"/>
  <c r="G5" i="4" s="1"/>
  <c r="G8" i="4"/>
  <c r="C48" i="4" l="1"/>
  <c r="G48" i="4" s="1"/>
</calcChain>
</file>

<file path=xl/sharedStrings.xml><?xml version="1.0" encoding="utf-8"?>
<sst xmlns="http://schemas.openxmlformats.org/spreadsheetml/2006/main" count="257" uniqueCount="111">
  <si>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</si>
  <si>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</si>
  <si>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</si>
  <si>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</si>
  <si>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</si>
  <si>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</si>
  <si>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</si>
  <si>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</si>
  <si>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</si>
  <si>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</si>
  <si>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</si>
  <si>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</si>
  <si>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</si>
  <si>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</si>
  <si>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</si>
  <si>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</si>
  <si>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</si>
  <si>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</si>
  <si>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</si>
  <si>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</si>
  <si>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</si>
  <si>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</si>
  <si>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</si>
  <si>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</si>
  <si>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</si>
  <si>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</si>
  <si>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</si>
  <si>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</si>
  <si>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</si>
  <si>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</si>
  <si>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</si>
  <si>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</si>
  <si>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</si>
  <si>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</si>
  <si>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</si>
  <si>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</si>
  <si>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</si>
  <si>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</si>
  <si>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</si>
  <si>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</si>
  <si>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</si>
  <si>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</si>
  <si>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</si>
  <si>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</si>
  <si>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</si>
  <si>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</si>
  <si>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</si>
  <si>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</si>
  <si>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</si>
  <si>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</si>
  <si>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</si>
  <si>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>Location total usage</t>
  </si>
  <si>
    <t xml:space="preserve">Location             </t>
  </si>
  <si>
    <t>IVL - Internet Access</t>
  </si>
  <si>
    <t>LIT - Internet Access</t>
  </si>
  <si>
    <t>STR - Internet Access</t>
  </si>
  <si>
    <t xml:space="preserve">SHA - Internet       </t>
  </si>
  <si>
    <t xml:space="preserve">WAU - Internet       </t>
  </si>
  <si>
    <t>MRT - Internet Access</t>
  </si>
  <si>
    <t>KIM - Internet Access</t>
  </si>
  <si>
    <t>KAU - Internet Access</t>
  </si>
  <si>
    <t>SEY - Internet Access</t>
  </si>
  <si>
    <t xml:space="preserve">ONE - Internet       </t>
  </si>
  <si>
    <t>LAK - Internet Access</t>
  </si>
  <si>
    <t>CPL - Internet Access</t>
  </si>
  <si>
    <t>LEN - Internet Access</t>
  </si>
  <si>
    <t xml:space="preserve">OCO - Internet       </t>
  </si>
  <si>
    <t xml:space="preserve">OCF - Internet       </t>
  </si>
  <si>
    <t>MAN - Internet Access</t>
  </si>
  <si>
    <t xml:space="preserve">TIG - Internet       </t>
  </si>
  <si>
    <t xml:space="preserve">ALG - Child          </t>
  </si>
  <si>
    <t>SIS - Internet Access</t>
  </si>
  <si>
    <t>CRI - Internet Access</t>
  </si>
  <si>
    <t xml:space="preserve">Egg - MakerSP        </t>
  </si>
  <si>
    <t xml:space="preserve">GIL - Internet       </t>
  </si>
  <si>
    <t xml:space="preserve">KAU - Teen           </t>
  </si>
  <si>
    <t>KEW - Internet Access</t>
  </si>
  <si>
    <t>FPL - Internet Access</t>
  </si>
  <si>
    <t>HPL - Internet Access</t>
  </si>
  <si>
    <t>ALG - Internet Access</t>
  </si>
  <si>
    <t>Egg - Internet Access</t>
  </si>
  <si>
    <t xml:space="preserve">STR - Laurie Room    </t>
  </si>
  <si>
    <t xml:space="preserve">PES - Child          </t>
  </si>
  <si>
    <t xml:space="preserve">WAU - Study          </t>
  </si>
  <si>
    <t>WEY - Internet Access</t>
  </si>
  <si>
    <t>BCL - Internet Access</t>
  </si>
  <si>
    <t xml:space="preserve">SHA - Child          </t>
  </si>
  <si>
    <t xml:space="preserve">ON2 - Internet       </t>
  </si>
  <si>
    <t xml:space="preserve">WAU - Child          </t>
  </si>
  <si>
    <t xml:space="preserve">WAU - Teen           </t>
  </si>
  <si>
    <t xml:space="preserve">BON - Internet       </t>
  </si>
  <si>
    <t>WAS - Internet Access</t>
  </si>
  <si>
    <t>NIA - Internet Access</t>
  </si>
  <si>
    <t xml:space="preserve">FLO - Internet       </t>
  </si>
  <si>
    <t xml:space="preserve">KAU - Child          </t>
  </si>
  <si>
    <t>BAI - Internet Access</t>
  </si>
  <si>
    <t>MAR - Internet Access</t>
  </si>
  <si>
    <t xml:space="preserve">WIT - Internet       </t>
  </si>
  <si>
    <t xml:space="preserve">Egg - Business       </t>
  </si>
  <si>
    <t>COL - Internet Access</t>
  </si>
  <si>
    <t>FIS - Internet Access</t>
  </si>
  <si>
    <t>WSH - Internet Access</t>
  </si>
  <si>
    <t>SUR - Internet Access</t>
  </si>
  <si>
    <t>FOR - Internet Access</t>
  </si>
  <si>
    <t>EPH - Internet Access</t>
  </si>
  <si>
    <t xml:space="preserve">Egg - History        </t>
  </si>
  <si>
    <t xml:space="preserve">SHI  - Internet      </t>
  </si>
  <si>
    <t xml:space="preserve">CPL - Child          </t>
  </si>
  <si>
    <t xml:space="preserve">_default             </t>
  </si>
  <si>
    <t xml:space="preserve">                    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</si>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</sst>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98"/>
  <sheetViews>
    <sheetView tabSelected="1" showWhiteSpace="0" view="pageLayout" zoomScale="84" zoomScaleNormal="100" zoomScalePageLayoutView="84" workbookViewId="0">
      <selection activeCell="G34" sqref="G34"/>
    </sheetView>
  </sheetViews>
  <sheetFormatPr defaultColWidth="8.90625" defaultRowHeight="13.2"/>
  <cols>
    <col min="1" max="1" width="25.90625" style="1" customWidth="1"/>
    <col min="2" max="2" width="1.81640625" style="1" customWidth="1"/>
    <col min="3" max="3" width="17.453125" style="7" customWidth="1"/>
    <col min="4" max="4" width="1.81640625" style="1" customWidth="1"/>
    <col min="5" max="5" width="15.54296875" style="1" customWidth="1"/>
    <col min="6" max="6" width="1.81640625" style="1" customWidth="1"/>
    <col min="7" max="7" width="17.54296875" style="5" customWidth="1"/>
    <col min="8" max="16384" width="8.90625" style="1"/>
  </cols>
  <sheetData>
    <row r="1" spans="1:18" ht="41.25" customHeight="1">
      <c r="A1" s="13" t="str">
        <f ca="1">"OWLSnet MyPC Statistics - " &amp; TEXT(NOW()-15-DAY(NOW()),"mmmm yyyy")</f>
        <v>OWLSnet MyPC Statistics - July 2023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6547.4166666666661</v>
      </c>
      <c r="D3" s="21"/>
      <c r="E3" s="21">
        <f>VLOOKUP(A3,Sessions!$A$1:$D$56,2,FALSE)</f>
        <v>123</v>
      </c>
      <c r="F3" s="21"/>
      <c r="G3" s="22">
        <f>C3/E3</f>
        <v>53.231029810298097</v>
      </c>
    </row>
    <row r="4" spans="1:18" s="27" customFormat="1" ht="19.5" customHeight="1">
      <c r="A4" s="24" t="s">
        <v>5</v>
      </c>
      <c r="B4" s="24"/>
      <c r="C4" s="25">
        <f>VLOOKUP(A4,Minutes!$A$1:$H$55,5,FALSE)</f>
        <v>1553.0166666666667</v>
      </c>
      <c r="D4" s="26"/>
      <c r="E4" s="25">
        <f>VLOOKUP(A4,Sessions!$A$1:$D$56,2,FALSE)</f>
        <v>55</v>
      </c>
      <c r="F4" s="26"/>
      <c r="G4" s="26">
        <f t="shared" ref="G4:G47" si="0">C4/E4</f>
        <v>28.236666666666668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7610.083333333333</v>
      </c>
      <c r="D5" s="21"/>
      <c r="E5" s="21">
        <f>VLOOKUP(A5,Sessions!$A$1:$D$56,2,FALSE)</f>
        <v>184</v>
      </c>
      <c r="F5" s="21"/>
      <c r="G5" s="22">
        <f t="shared" si="0"/>
        <v>41.359148550724633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818.36666666666667</v>
      </c>
      <c r="D6" s="26"/>
      <c r="E6" s="25">
        <f>VLOOKUP(A6,Sessions!$A$1:$D$56,2,FALSE)</f>
        <v>34</v>
      </c>
      <c r="F6" s="26"/>
      <c r="G6" s="26">
        <f t="shared" si="0"/>
        <v>24.069607843137256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3569.7666666666664</v>
      </c>
      <c r="D7" s="22"/>
      <c r="E7" s="21">
        <f>VLOOKUP(A7,Sessions!$A$1:$D$56,2,FALSE)</f>
        <v>87</v>
      </c>
      <c r="F7" s="22"/>
      <c r="G7" s="22">
        <f>C7/E7</f>
        <v>41.031800766283524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380.76666666666665</v>
      </c>
      <c r="D8" s="26"/>
      <c r="E8" s="25">
        <f>VLOOKUP(A8,Sessions!$A$1:$D$56,2,FALSE)</f>
        <v>14</v>
      </c>
      <c r="F8" s="26"/>
      <c r="G8" s="26">
        <f t="shared" si="0"/>
        <v>27.197619047619046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477.4666666666667</v>
      </c>
      <c r="D9" s="21"/>
      <c r="E9" s="21">
        <f>VLOOKUP(A9,Sessions!$A$1:$D$56,2,FALSE)</f>
        <v>17</v>
      </c>
      <c r="F9" s="21"/>
      <c r="G9" s="22">
        <f t="shared" si="0"/>
        <v>28.086274509803925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384.66666666666669</v>
      </c>
      <c r="D10" s="25"/>
      <c r="E10" s="25">
        <f>VLOOKUP(A10,Sessions!$A$1:$D$56,2,FALSE)</f>
        <v>13</v>
      </c>
      <c r="F10" s="25"/>
      <c r="G10" s="26">
        <f t="shared" si="0"/>
        <v>29.589743589743591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4251.9833333333336</v>
      </c>
      <c r="D11" s="22"/>
      <c r="E11" s="21">
        <f>VLOOKUP(A11,Sessions!$A$1:$D$56,2,FALSE)</f>
        <v>149</v>
      </c>
      <c r="F11" s="22"/>
      <c r="G11" s="22">
        <f t="shared" si="0"/>
        <v>28.536800894854586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21349.716666666667</v>
      </c>
      <c r="D12" s="25"/>
      <c r="E12" s="25">
        <f>VLOOKUP(A12,Sessions!$A$1:$D$56,2,FALSE)</f>
        <v>492</v>
      </c>
      <c r="F12" s="25"/>
      <c r="G12" s="26">
        <f t="shared" si="0"/>
        <v>43.393733062330625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419.06666666666666</v>
      </c>
      <c r="D13" s="21"/>
      <c r="E13" s="21">
        <f>VLOOKUP(A13,Sessions!$A$1:$D$56,2,FALSE)</f>
        <v>11</v>
      </c>
      <c r="F13" s="21"/>
      <c r="G13" s="22">
        <f t="shared" si="0"/>
        <v>38.096969696969694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962.91666666666674</v>
      </c>
      <c r="D14" s="26"/>
      <c r="E14" s="25">
        <f>VLOOKUP(A14,Sessions!$A$1:$D$56,2,FALSE)</f>
        <v>27</v>
      </c>
      <c r="F14" s="26"/>
      <c r="G14" s="26">
        <f t="shared" ca="1" si="0"/>
        <v>35.663580246913583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2696.8833333333332</v>
      </c>
      <c r="D15" s="21"/>
      <c r="E15" s="21">
        <f>VLOOKUP(A15,Sessions!$A$1:$D$56,2,FALSE)</f>
        <v>48</v>
      </c>
      <c r="F15" s="21"/>
      <c r="G15" s="22">
        <f t="shared" si="0"/>
        <v>56.185069444444444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3329.4166666666665</v>
      </c>
      <c r="D16" s="26"/>
      <c r="E16" s="25">
        <f>VLOOKUP(A16,Sessions!$A$1:$D$56,2,FALSE)</f>
        <v>72</v>
      </c>
      <c r="F16" s="26"/>
      <c r="G16" s="26">
        <f t="shared" si="0"/>
        <v>46.241898148148145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2547.6333333333332</v>
      </c>
      <c r="D17" s="21"/>
      <c r="E17" s="21">
        <f>VLOOKUP(A17,Sessions!$A$1:$D$56,2,FALSE)</f>
        <v>80</v>
      </c>
      <c r="F17" s="21"/>
      <c r="G17" s="22">
        <f t="shared" si="0"/>
        <v>31.845416666666665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27723.433333333334</v>
      </c>
      <c r="D18" s="26"/>
      <c r="E18" s="25">
        <f>VLOOKUP(A18,Sessions!$A$1:$D$56,2,FALSE)</f>
        <v>227</v>
      </c>
      <c r="F18" s="26"/>
      <c r="G18" s="26">
        <f t="shared" si="0"/>
        <v>122.12966226138033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16798.466666666667</v>
      </c>
      <c r="D19" s="21"/>
      <c r="E19" s="21">
        <f>VLOOKUP(A19,Sessions!$A$1:$D$56,2,FALSE)</f>
        <v>376</v>
      </c>
      <c r="F19" s="21"/>
      <c r="G19" s="22">
        <f t="shared" si="0"/>
        <v>44.676773049645391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2846.4833333333336</v>
      </c>
      <c r="D20" s="26"/>
      <c r="E20" s="25">
        <f>VLOOKUP(A20,Sessions!$A$1:$D$56,2,FALSE)</f>
        <v>77</v>
      </c>
      <c r="F20" s="26"/>
      <c r="G20" s="26">
        <f t="shared" si="0"/>
        <v>36.967316017316023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13453.55</v>
      </c>
      <c r="D21" s="21"/>
      <c r="E21" s="21">
        <f>VLOOKUP(A21,Sessions!$A$1:$D$56,2,FALSE)</f>
        <v>315</v>
      </c>
      <c r="F21" s="21"/>
      <c r="G21" s="22">
        <f t="shared" si="0"/>
        <v>42.709682539682539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20938.266666666666</v>
      </c>
      <c r="D22" s="26"/>
      <c r="E22" s="25">
        <f>VLOOKUP(A22,Sessions!$A$1:$D$56,2,FALSE)</f>
        <v>366</v>
      </c>
      <c r="F22" s="26"/>
      <c r="G22" s="26">
        <f t="shared" si="0"/>
        <v>57.208378870673954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7677.75</v>
      </c>
      <c r="D23" s="21"/>
      <c r="E23" s="21">
        <f>VLOOKUP(A23,Sessions!$A$1:$D$56,2,FALSE)</f>
        <v>165</v>
      </c>
      <c r="F23" s="21"/>
      <c r="G23" s="22">
        <f t="shared" si="0"/>
        <v>46.531818181818181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5430.3833333333332</v>
      </c>
      <c r="D24" s="26"/>
      <c r="E24" s="25">
        <f>VLOOKUP(A24,Sessions!$A$1:$D$56,2,FALSE)</f>
        <v>67</v>
      </c>
      <c r="F24" s="26"/>
      <c r="G24" s="26">
        <f t="shared" si="0"/>
        <v>81.050497512437815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5520.9333333333334</v>
      </c>
      <c r="D25" s="21"/>
      <c r="E25" s="21">
        <f>VLOOKUP(A25,Sessions!$A$1:$D$56,2,FALSE)</f>
        <v>107</v>
      </c>
      <c r="F25" s="21"/>
      <c r="G25" s="22">
        <f t="shared" si="0"/>
        <v>51.597507788161991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545.5</v>
      </c>
      <c r="D26" s="26"/>
      <c r="E26" s="25">
        <f>VLOOKUP(A26,Sessions!$A$1:$D$56,2,FALSE)</f>
        <v>17</v>
      </c>
      <c r="F26" s="26"/>
      <c r="G26" s="26">
        <f t="shared" si="0"/>
        <v>32.088235294117645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4208.166666666667</v>
      </c>
      <c r="D27" s="21"/>
      <c r="E27" s="21">
        <f>VLOOKUP(A27,Sessions!$A$1:$D$56,2,FALSE)</f>
        <v>107</v>
      </c>
      <c r="F27" s="21"/>
      <c r="G27" s="22">
        <f t="shared" si="0"/>
        <v>39.328660436137078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13751.95</v>
      </c>
      <c r="D28" s="26"/>
      <c r="E28" s="25">
        <f>VLOOKUP(A28,Sessions!$A$1:$D$56,2,FALSE)</f>
        <v>279</v>
      </c>
      <c r="F28" s="26"/>
      <c r="G28" s="26">
        <f t="shared" si="0"/>
        <v>49.290143369175631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1089.4166666666667</v>
      </c>
      <c r="D29" s="21"/>
      <c r="E29" s="21">
        <f>VLOOKUP(A29,Sessions!$A$1:$D$56,2,FALSE)</f>
        <v>22</v>
      </c>
      <c r="F29" s="21"/>
      <c r="G29" s="22">
        <f t="shared" si="0"/>
        <v>49.518939393939398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1878.6</v>
      </c>
      <c r="D30" s="26"/>
      <c r="E30" s="25">
        <f>VLOOKUP(A30,Sessions!$A$1:$D$56,2,FALSE)</f>
        <v>39</v>
      </c>
      <c r="F30" s="26"/>
      <c r="G30" s="26">
        <f t="shared" si="0"/>
        <v>48.169230769230765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1161.7666666666669</v>
      </c>
      <c r="D31" s="21"/>
      <c r="E31" s="21">
        <f>VLOOKUP(A31,Sessions!$A$1:$D$56,2,FALSE)</f>
        <v>40</v>
      </c>
      <c r="F31" s="21"/>
      <c r="G31" s="22">
        <f t="shared" si="0"/>
        <v>29.044166666666673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799.2</v>
      </c>
      <c r="D32" s="26"/>
      <c r="E32" s="25">
        <f>VLOOKUP(A32,Sessions!$A$1:$D$56,2,FALSE)</f>
        <v>27</v>
      </c>
      <c r="F32" s="26"/>
      <c r="G32" s="26">
        <f t="shared" si="0"/>
        <v>29.6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5893.2166666666662</v>
      </c>
      <c r="D33" s="21"/>
      <c r="E33" s="21">
        <f>VLOOKUP(A33,Sessions!$A$1:$D$56,2,FALSE)</f>
        <v>121</v>
      </c>
      <c r="F33" s="21"/>
      <c r="G33" s="22">
        <f t="shared" si="0"/>
        <v>48.70426997245179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5531.15</v>
      </c>
      <c r="D34" s="26"/>
      <c r="E34" s="25">
        <f>VLOOKUP(A34,Sessions!$A$1:$D$56,2,FALSE)</f>
        <v>137</v>
      </c>
      <c r="F34" s="26"/>
      <c r="G34" s="26">
        <f t="shared" si="0"/>
        <v>40.373357664233573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995.56666666666649</v>
      </c>
      <c r="D35" s="21"/>
      <c r="E35" s="21">
        <f>VLOOKUP(A35,Sessions!$A$1:$D$56,2,FALSE)</f>
        <v>27</v>
      </c>
      <c r="F35" s="21"/>
      <c r="G35" s="22">
        <f t="shared" si="0"/>
        <v>36.872839506172831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5420.083333333333</v>
      </c>
      <c r="D36" s="26"/>
      <c r="E36" s="25">
        <f>VLOOKUP(A36,Sessions!$A$1:$D$56,2,FALSE)</f>
        <v>123</v>
      </c>
      <c r="F36" s="26"/>
      <c r="G36" s="26">
        <f t="shared" si="0"/>
        <v>44.065718157181571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0</v>
      </c>
      <c r="D37" s="21"/>
      <c r="E37" s="21">
        <f>VLOOKUP(A37,Sessions!$A$1:$D$56,2,FALSE)</f>
        <v>0</v>
      </c>
      <c r="F37" s="21"/>
      <c r="G37" s="22">
        <v>0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9833.75</v>
      </c>
      <c r="D38" s="26"/>
      <c r="E38" s="25">
        <f>VLOOKUP(A38,Sessions!$A$1:$D$56,2,FALSE)</f>
        <v>113</v>
      </c>
      <c r="F38" s="26"/>
      <c r="G38" s="26">
        <f t="shared" si="0"/>
        <v>87.024336283185846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1177.55</v>
      </c>
      <c r="D39" s="21"/>
      <c r="E39" s="21">
        <f>VLOOKUP(A39,Sessions!$A$1:$D$56,2,FALSE)</f>
        <v>39</v>
      </c>
      <c r="F39" s="21"/>
      <c r="G39" s="22">
        <f t="shared" si="0"/>
        <v>30.193589743589744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0</v>
      </c>
      <c r="D40" s="26"/>
      <c r="E40" s="25">
        <f>VLOOKUP(A40,Sessions!$A$1:$D$56,2,FALSE)</f>
        <v>0</v>
      </c>
      <c r="F40" s="26"/>
      <c r="G40" s="26">
        <v>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20481.916666666668</v>
      </c>
      <c r="D41" s="21"/>
      <c r="E41" s="21">
        <f>VLOOKUP(A41,Sessions!$A$1:$D$56,2,FALSE)</f>
        <v>456</v>
      </c>
      <c r="F41" s="21"/>
      <c r="G41" s="22">
        <f t="shared" si="0"/>
        <v>44.916483918128655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5165.6333333333332</v>
      </c>
      <c r="D42" s="26"/>
      <c r="E42" s="25">
        <f>VLOOKUP(A42,Sessions!$A$1:$D$56,2,FALSE)</f>
        <v>75</v>
      </c>
      <c r="F42" s="26"/>
      <c r="G42" s="26">
        <f t="shared" si="0"/>
        <v>68.87511111111111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775.63333333333333</v>
      </c>
      <c r="D43" s="21"/>
      <c r="E43" s="21">
        <f>VLOOKUP(A43,Sessions!$A$1:$D$56,2,FALSE)</f>
        <v>19</v>
      </c>
      <c r="F43" s="21"/>
      <c r="G43" s="22">
        <f t="shared" si="0"/>
        <v>40.822807017543859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167.51666666666665</v>
      </c>
      <c r="D44" s="26"/>
      <c r="E44" s="25">
        <f>VLOOKUP(A44,Sessions!$A$1:$D$56,2,FALSE)</f>
        <v>7</v>
      </c>
      <c r="F44" s="26"/>
      <c r="G44" s="26">
        <f t="shared" si="0"/>
        <v>23.93095238095238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415.61666666666667</v>
      </c>
      <c r="D45" s="21"/>
      <c r="E45" s="21">
        <f>VLOOKUP(A45,Sessions!$A$1:$D$56,2,FALSE)</f>
        <v>15</v>
      </c>
      <c r="F45" s="21"/>
      <c r="G45" s="22">
        <f t="shared" si="0"/>
        <v>27.707777777777778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20103.5</v>
      </c>
      <c r="D46" s="26"/>
      <c r="E46" s="25">
        <f>VLOOKUP(A46,Sessions!$A$1:$D$56,2,FALSE)</f>
        <v>494</v>
      </c>
      <c r="F46" s="26"/>
      <c r="G46" s="26">
        <f t="shared" si="0"/>
        <v>40.695344129554655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1568</v>
      </c>
      <c r="D47" s="21"/>
      <c r="E47" s="21">
        <f>VLOOKUP(A47,Sessions!$A$1:$D$56,2,FALSE)</f>
        <v>63</v>
      </c>
      <c r="F47" s="21"/>
      <c r="G47" s="22">
        <f t="shared" si="0"/>
        <v>24.888888888888889</v>
      </c>
    </row>
    <row r="48" spans="1:18" s="27" customFormat="1" ht="19.5" customHeight="1">
      <c r="A48" s="30" t="s">
        <v>49</v>
      </c>
      <c r="B48" s="30"/>
      <c r="C48" s="31">
        <f ca="1">SUM(C3:C47)</f>
        <v>258252.16666666666</v>
      </c>
      <c r="D48" s="32"/>
      <c r="E48" s="32">
        <f>SUM(E3:E47)</f>
        <v>5326</v>
      </c>
      <c r="F48" s="32"/>
      <c r="G48" s="32">
        <f ca="1">C48/E48</f>
        <v>48.488953561146573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7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8"/>
  <sheetViews>
    <sheetView workbookViewId="0">
      <selection activeCell="C13" sqref="C13"/>
    </sheetView>
  </sheetViews>
  <sheetFormatPr defaultRowHeight="15"/>
  <cols>
    <col min="1" max="1" width="26.54296875" customWidth="1"/>
    <col min="3" max="3" width="15" bestFit="1" customWidth="1"/>
    <col min="4" max="4" width="16.54296875" bestFit="1" customWidth="1"/>
    <col min="6" max="6" width="11.81640625" customWidth="1"/>
  </cols>
  <sheetData>
    <row r="1" spans="1:5" ht="15.6">
      <c r="A1" t="s">
        <v>4</v>
      </c>
      <c r="B1" s="34">
        <f>SUMIF(D$1:D$70, "ALG*",C$1:C$70)</f>
        <v>123</v>
      </c>
      <c r="C1" t="s">
        <v>51</v>
      </c>
      <c r="D1" t="s">
        <v>52</v>
      </c>
      <c r="E1" s="9"/>
    </row>
    <row r="2" spans="1:5" ht="15.6">
      <c r="A2" t="s">
        <v>7</v>
      </c>
      <c r="B2" s="34">
        <f>SUMIF(D$1:D$70, "BAI*",C$1:C$70)</f>
        <v>34</v>
      </c>
      <c r="C2">
        <v>227</v>
      </c>
      <c r="D2" t="s">
        <v>53</v>
      </c>
      <c r="E2" s="9"/>
    </row>
    <row r="3" spans="1:5" ht="15.6">
      <c r="A3" t="s">
        <v>5</v>
      </c>
      <c r="B3" s="34">
        <f>SUMIF(D$1:D$70, "BCL*",C$1:C$70)</f>
        <v>55</v>
      </c>
      <c r="C3">
        <v>366</v>
      </c>
      <c r="D3" t="s">
        <v>54</v>
      </c>
      <c r="E3" s="9"/>
    </row>
    <row r="4" spans="1:5" ht="15.6">
      <c r="A4" t="s">
        <v>40</v>
      </c>
      <c r="B4" s="34">
        <f>SUMIF(D$1:D$70, "BON*",C$1:C$70)</f>
        <v>39</v>
      </c>
      <c r="C4">
        <v>462</v>
      </c>
      <c r="D4" t="s">
        <v>55</v>
      </c>
      <c r="E4" s="9"/>
    </row>
    <row r="5" spans="1:5" ht="15.6">
      <c r="A5" t="s">
        <v>27</v>
      </c>
      <c r="B5" s="34">
        <f>SUMIF(D$1:D$70, "COL*",C$1:C$70)</f>
        <v>17</v>
      </c>
      <c r="C5">
        <v>424</v>
      </c>
      <c r="D5" t="s">
        <v>56</v>
      </c>
      <c r="E5" s="9"/>
    </row>
    <row r="6" spans="1:5" ht="15.6">
      <c r="A6" t="s">
        <v>6</v>
      </c>
      <c r="B6" s="34">
        <f>SUMIF(D$1:D$70, "CPL*",C$1:C$70)</f>
        <v>184</v>
      </c>
      <c r="C6">
        <v>413</v>
      </c>
      <c r="D6" t="s">
        <v>57</v>
      </c>
      <c r="E6" s="9"/>
    </row>
    <row r="7" spans="1:5" ht="15.6">
      <c r="B7" s="34"/>
      <c r="C7">
        <v>279</v>
      </c>
      <c r="D7" t="s">
        <v>58</v>
      </c>
      <c r="E7" s="9"/>
    </row>
    <row r="8" spans="1:5" ht="15.6">
      <c r="A8" t="s">
        <v>28</v>
      </c>
      <c r="B8" s="34">
        <f>SUMIF(D$1:D$70, "CRI*",C$1:C$70)</f>
        <v>107</v>
      </c>
      <c r="C8">
        <v>315</v>
      </c>
      <c r="D8" t="s">
        <v>59</v>
      </c>
      <c r="E8" s="9"/>
    </row>
    <row r="9" spans="1:5" ht="15.6">
      <c r="A9" t="s">
        <v>8</v>
      </c>
      <c r="B9" s="34">
        <f>SUMIF(D$1:D$70, "EGG*",C$1:C$70)</f>
        <v>87</v>
      </c>
      <c r="C9">
        <v>295</v>
      </c>
      <c r="D9" t="s">
        <v>60</v>
      </c>
      <c r="E9" s="9"/>
    </row>
    <row r="10" spans="1:5" ht="15.6">
      <c r="B10" s="34"/>
      <c r="C10">
        <v>113</v>
      </c>
      <c r="D10" t="s">
        <v>61</v>
      </c>
      <c r="E10" s="9"/>
    </row>
    <row r="11" spans="1:5" ht="15.6">
      <c r="B11" s="34"/>
      <c r="C11">
        <v>123</v>
      </c>
      <c r="D11" t="s">
        <v>62</v>
      </c>
      <c r="E11" s="9"/>
    </row>
    <row r="12" spans="1:5" ht="15.6">
      <c r="B12" s="34"/>
      <c r="C12">
        <v>165</v>
      </c>
      <c r="D12" t="s">
        <v>63</v>
      </c>
      <c r="E12" s="9"/>
    </row>
    <row r="13" spans="1:5" ht="15.6">
      <c r="A13" t="s">
        <v>9</v>
      </c>
      <c r="B13" s="34">
        <f>SUMIF(D$1:D$70, "EPH*",C$1:C$70)</f>
        <v>14</v>
      </c>
      <c r="C13">
        <v>179</v>
      </c>
      <c r="D13" t="s">
        <v>64</v>
      </c>
      <c r="E13" s="9"/>
    </row>
    <row r="14" spans="1:5" ht="15.6">
      <c r="A14" t="s">
        <v>10</v>
      </c>
      <c r="B14" s="34">
        <f>SUMIF(D$1:D$70, "FIS*",C$1:C$70)</f>
        <v>17</v>
      </c>
      <c r="C14">
        <v>67</v>
      </c>
      <c r="D14" t="s">
        <v>65</v>
      </c>
      <c r="E14" s="9"/>
    </row>
    <row r="15" spans="1:5" ht="15.6">
      <c r="A15" t="s">
        <v>15</v>
      </c>
      <c r="B15" s="34">
        <f>SUMIF(D$1:D$70, "FLO*",C$1:C$70)</f>
        <v>27</v>
      </c>
      <c r="C15">
        <v>121</v>
      </c>
      <c r="D15" t="s">
        <v>66</v>
      </c>
      <c r="E15" s="9"/>
    </row>
    <row r="16" spans="1:5" ht="15.6">
      <c r="A16" t="s">
        <v>11</v>
      </c>
      <c r="B16" s="34">
        <f>SUMIF(D$1:D$70, "FOR*",C$1:C$70)</f>
        <v>13</v>
      </c>
      <c r="C16">
        <v>137</v>
      </c>
      <c r="D16" t="s">
        <v>67</v>
      </c>
      <c r="E16" s="9"/>
    </row>
    <row r="17" spans="1:5" ht="15.6">
      <c r="A17" t="s">
        <v>16</v>
      </c>
      <c r="B17" s="34">
        <f>SUMIF(D$1:D$70, "FPL*",C$1:C$70)</f>
        <v>48</v>
      </c>
      <c r="C17">
        <v>107</v>
      </c>
      <c r="D17" t="s">
        <v>68</v>
      </c>
      <c r="E17" s="9"/>
    </row>
    <row r="18" spans="1:5" ht="15.6">
      <c r="A18" t="s">
        <v>17</v>
      </c>
      <c r="B18" s="34">
        <f>SUMIF(D$1:D$70, "GIL*",C$1:C$70)</f>
        <v>72</v>
      </c>
      <c r="C18">
        <v>75</v>
      </c>
      <c r="D18" t="s">
        <v>69</v>
      </c>
      <c r="E18" s="9"/>
    </row>
    <row r="19" spans="1:5" ht="15.6">
      <c r="A19" t="s">
        <v>18</v>
      </c>
      <c r="B19" s="34">
        <f>SUMIF(D$1:D$70, "HPL*",C$1:C$70)</f>
        <v>80</v>
      </c>
      <c r="C19">
        <v>62</v>
      </c>
      <c r="D19" t="s">
        <v>70</v>
      </c>
      <c r="E19" s="9"/>
    </row>
    <row r="20" spans="1:5" ht="15.6">
      <c r="A20" t="s">
        <v>19</v>
      </c>
      <c r="B20" s="34">
        <f>SUMIF(D$1:D$70, "IVL*",C$1:C$70)</f>
        <v>227</v>
      </c>
      <c r="C20">
        <v>149</v>
      </c>
      <c r="D20" t="s">
        <v>71</v>
      </c>
      <c r="E20" s="9"/>
    </row>
    <row r="21" spans="1:5" ht="15.6">
      <c r="A21" t="s">
        <v>20</v>
      </c>
      <c r="B21" s="34">
        <f>SUMIF(D$1:D$70, "KAU*",C$1:C$70)</f>
        <v>376</v>
      </c>
      <c r="C21">
        <v>107</v>
      </c>
      <c r="D21" t="s">
        <v>72</v>
      </c>
      <c r="E21" s="10"/>
    </row>
    <row r="22" spans="1:5" ht="15.6">
      <c r="B22" s="34"/>
      <c r="C22">
        <v>8</v>
      </c>
      <c r="D22" t="s">
        <v>73</v>
      </c>
      <c r="E22" s="9"/>
    </row>
    <row r="23" spans="1:5" ht="15.6">
      <c r="B23" s="34"/>
      <c r="C23">
        <v>72</v>
      </c>
      <c r="D23" t="s">
        <v>74</v>
      </c>
      <c r="E23" s="9"/>
    </row>
    <row r="24" spans="1:5" ht="15.6">
      <c r="A24" t="s">
        <v>21</v>
      </c>
      <c r="B24" s="34">
        <f>SUMIF(D$1:D$70, "KEW*",C$1:C$70)</f>
        <v>77</v>
      </c>
      <c r="C24">
        <v>44</v>
      </c>
      <c r="D24" t="s">
        <v>75</v>
      </c>
      <c r="E24" s="9"/>
    </row>
    <row r="25" spans="1:5" ht="15.6">
      <c r="A25" t="s">
        <v>22</v>
      </c>
      <c r="B25" s="34">
        <f>SUMIF(D$1:D$70, "KIM*",C$1:C$70)</f>
        <v>315</v>
      </c>
      <c r="C25">
        <v>77</v>
      </c>
      <c r="D25" t="s">
        <v>76</v>
      </c>
      <c r="E25" s="9"/>
    </row>
    <row r="26" spans="1:5" ht="15.6">
      <c r="A26" t="s">
        <v>24</v>
      </c>
      <c r="B26" s="34">
        <f>SUMIF(D$1:D$70, "LAK*",C$1:C$70)</f>
        <v>165</v>
      </c>
      <c r="C26">
        <v>48</v>
      </c>
      <c r="D26" t="s">
        <v>77</v>
      </c>
      <c r="E26" s="9"/>
    </row>
    <row r="27" spans="1:5" ht="15.6">
      <c r="A27" t="s">
        <v>25</v>
      </c>
      <c r="B27" s="34">
        <f>SUMIF(D$1:D$70, "LEN*",C$1:C$70)</f>
        <v>67</v>
      </c>
      <c r="C27">
        <v>80</v>
      </c>
      <c r="D27" t="s">
        <v>78</v>
      </c>
      <c r="E27" s="9"/>
    </row>
    <row r="28" spans="1:5" ht="15.6">
      <c r="A28" t="s">
        <v>23</v>
      </c>
      <c r="B28" s="34">
        <f>SUMIF(D$1:D$70, "LIT*",C$1:C$70)</f>
        <v>366</v>
      </c>
      <c r="C28">
        <v>61</v>
      </c>
      <c r="D28" t="s">
        <v>79</v>
      </c>
      <c r="E28" s="9"/>
    </row>
    <row r="29" spans="1:5" ht="15.6">
      <c r="A29" t="s">
        <v>26</v>
      </c>
      <c r="B29" s="34">
        <f>SUMIF(D$1:D$70, "MAN*",C$1:C$70)</f>
        <v>107</v>
      </c>
      <c r="C29">
        <v>69</v>
      </c>
      <c r="D29" t="s">
        <v>80</v>
      </c>
      <c r="E29" s="9"/>
    </row>
    <row r="30" spans="1:5" ht="15.6">
      <c r="A30" t="s">
        <v>33</v>
      </c>
      <c r="B30" s="34">
        <f>SUMIF(D$1:D$70, "MAR*",C$1:C$70)</f>
        <v>27</v>
      </c>
      <c r="C30">
        <v>30</v>
      </c>
      <c r="D30" t="s">
        <v>81</v>
      </c>
      <c r="E30" s="10"/>
    </row>
    <row r="31" spans="1:5" ht="15.6">
      <c r="A31" t="s">
        <v>41</v>
      </c>
      <c r="B31" s="34">
        <f>SUMIF(D$1:D$70, "MAT*",C$1:C$70)</f>
        <v>0</v>
      </c>
      <c r="C31">
        <v>39</v>
      </c>
      <c r="D31" t="s">
        <v>82</v>
      </c>
      <c r="E31" s="9"/>
    </row>
    <row r="32" spans="1:5" ht="15.6">
      <c r="A32" t="s">
        <v>29</v>
      </c>
      <c r="B32" s="34">
        <f>SUMIF(D$1:D$70, "MRT*",C$1:C$70)</f>
        <v>279</v>
      </c>
      <c r="C32">
        <v>29</v>
      </c>
      <c r="D32" t="s">
        <v>83</v>
      </c>
      <c r="E32" s="9"/>
    </row>
    <row r="33" spans="1:5" ht="15.6">
      <c r="A33" t="s">
        <v>30</v>
      </c>
      <c r="B33" s="34">
        <f>SUMIF(D$1:D$70, "NIA*",C$1:C$70)</f>
        <v>22</v>
      </c>
      <c r="C33">
        <v>63</v>
      </c>
      <c r="D33" t="s">
        <v>84</v>
      </c>
      <c r="E33" s="10"/>
    </row>
    <row r="34" spans="1:5" ht="15.6">
      <c r="A34" t="s">
        <v>35</v>
      </c>
      <c r="B34" s="34">
        <f>SUMIF(D$1:D$70, "OCF*",C$1:C$70)</f>
        <v>137</v>
      </c>
      <c r="C34">
        <v>55</v>
      </c>
      <c r="D34" t="s">
        <v>85</v>
      </c>
      <c r="E34" s="9"/>
    </row>
    <row r="35" spans="1:5" ht="15.6">
      <c r="A35" t="s">
        <v>34</v>
      </c>
      <c r="B35" s="34">
        <f>SUMIF(D$1:D$70, "OCO*",C$1:C$70)</f>
        <v>121</v>
      </c>
      <c r="C35">
        <v>32</v>
      </c>
      <c r="D35" t="s">
        <v>86</v>
      </c>
      <c r="E35" s="9"/>
    </row>
    <row r="36" spans="1:5" ht="15.6">
      <c r="A36" t="s">
        <v>36</v>
      </c>
      <c r="B36" s="34">
        <f>SUMIF(D$1:D$70, "ON2*",C$1:C$70)</f>
        <v>27</v>
      </c>
      <c r="C36">
        <v>27</v>
      </c>
      <c r="D36" t="s">
        <v>87</v>
      </c>
      <c r="E36" s="10"/>
    </row>
    <row r="37" spans="1:5" ht="15.6">
      <c r="A37" t="s">
        <v>37</v>
      </c>
      <c r="B37" s="34">
        <f>SUMIF(D$1:D$70, "ONE*",C$1:C$70)</f>
        <v>123</v>
      </c>
      <c r="C37">
        <v>27</v>
      </c>
      <c r="D37" t="s">
        <v>88</v>
      </c>
      <c r="E37" s="9"/>
    </row>
    <row r="38" spans="1:5" ht="15.6">
      <c r="A38" t="s">
        <v>31</v>
      </c>
      <c r="B38" s="34">
        <f>SUMIF(D$1:D$70, "PES*",C$1:C$70)</f>
        <v>39</v>
      </c>
      <c r="C38">
        <v>25</v>
      </c>
      <c r="D38" t="s">
        <v>89</v>
      </c>
    </row>
    <row r="39" spans="1:5" ht="15.6">
      <c r="B39" s="34"/>
      <c r="C39">
        <v>39</v>
      </c>
      <c r="D39" t="s">
        <v>90</v>
      </c>
    </row>
    <row r="40" spans="1:5" ht="15.6">
      <c r="A40" t="s">
        <v>38</v>
      </c>
      <c r="B40" s="34">
        <f>SUMIF(D$1:D$70, "SCA*",C$1:C$70)</f>
        <v>0</v>
      </c>
      <c r="C40">
        <v>40</v>
      </c>
      <c r="D40" t="s">
        <v>91</v>
      </c>
    </row>
    <row r="41" spans="1:5" ht="15.6">
      <c r="A41" t="s">
        <v>39</v>
      </c>
      <c r="B41" s="34">
        <f>SUMIF(D$1:D$70, "SEY*",C$1:C$70)</f>
        <v>113</v>
      </c>
      <c r="C41">
        <v>22</v>
      </c>
      <c r="D41" t="s">
        <v>92</v>
      </c>
    </row>
    <row r="42" spans="1:5" ht="15.6">
      <c r="A42" t="s">
        <v>42</v>
      </c>
      <c r="B42" s="34">
        <f>SUMIF(D$1:D$70, "SHA*",C$1:C$70)</f>
        <v>456</v>
      </c>
      <c r="C42">
        <v>27</v>
      </c>
      <c r="D42" t="s">
        <v>93</v>
      </c>
    </row>
    <row r="43" spans="1:5" ht="15.6">
      <c r="B43" s="34"/>
      <c r="C43">
        <v>37</v>
      </c>
      <c r="D43" t="s">
        <v>94</v>
      </c>
    </row>
    <row r="44" spans="1:5" ht="15.6">
      <c r="A44" t="s">
        <v>45</v>
      </c>
      <c r="B44" s="34">
        <f>SUMIF(D$1:D$70, "SHI*",C$1:C$70)</f>
        <v>7</v>
      </c>
      <c r="C44">
        <v>34</v>
      </c>
      <c r="D44" t="s">
        <v>95</v>
      </c>
    </row>
    <row r="45" spans="1:5" ht="15.6">
      <c r="A45" t="s">
        <v>12</v>
      </c>
      <c r="B45" s="34">
        <f>SUMIF(D$1:D$70, "SIS*",C$1:C$70)</f>
        <v>149</v>
      </c>
      <c r="C45">
        <v>27</v>
      </c>
      <c r="D45" t="s">
        <v>96</v>
      </c>
    </row>
    <row r="46" spans="1:5" ht="15.6">
      <c r="A46" t="s">
        <v>13</v>
      </c>
      <c r="B46" s="34">
        <f>SUMIF(D$1:D$70, "STR*",C$1:C$70)</f>
        <v>492</v>
      </c>
      <c r="C46">
        <v>19</v>
      </c>
      <c r="D46" t="s">
        <v>97</v>
      </c>
    </row>
    <row r="47" spans="1:5" ht="15.6">
      <c r="B47" s="34"/>
      <c r="C47">
        <v>4</v>
      </c>
      <c r="D47" t="s">
        <v>98</v>
      </c>
    </row>
    <row r="48" spans="1:5" ht="15.6">
      <c r="A48" t="s">
        <v>46</v>
      </c>
      <c r="B48" s="34">
        <f>SUMIF(D$1:D$70, "SUR*",C$1:C$70)</f>
        <v>15</v>
      </c>
      <c r="C48">
        <v>17</v>
      </c>
      <c r="D48" t="s">
        <v>99</v>
      </c>
    </row>
    <row r="49" spans="1:4" ht="15.6">
      <c r="A49" t="s">
        <v>43</v>
      </c>
      <c r="B49" s="34">
        <f>SUMIF(D$1:D$70, "TIG*",C$1:C$70)</f>
        <v>75</v>
      </c>
      <c r="C49">
        <v>17</v>
      </c>
      <c r="D49" t="s">
        <v>100</v>
      </c>
    </row>
    <row r="50" spans="1:4" ht="15.6">
      <c r="A50" t="s">
        <v>32</v>
      </c>
      <c r="B50" s="34">
        <f>SUMIF(D$1:D$70, "WAS*",C$1:C$70)</f>
        <v>40</v>
      </c>
      <c r="C50">
        <v>11</v>
      </c>
      <c r="D50" t="s">
        <v>101</v>
      </c>
    </row>
    <row r="51" spans="1:4" ht="15.6">
      <c r="A51" t="s">
        <v>47</v>
      </c>
      <c r="B51" s="34">
        <f>SUMIF(D$1:D$70, "WAU*",C$1:C$70)</f>
        <v>494</v>
      </c>
      <c r="C51">
        <v>15</v>
      </c>
      <c r="D51" t="s">
        <v>102</v>
      </c>
    </row>
    <row r="52" spans="1:4" ht="15.6">
      <c r="B52" s="34"/>
      <c r="C52">
        <v>13</v>
      </c>
      <c r="D52" t="s">
        <v>103</v>
      </c>
    </row>
    <row r="53" spans="1:4" ht="15.6">
      <c r="B53" s="34"/>
      <c r="C53">
        <v>14</v>
      </c>
      <c r="D53" t="s">
        <v>104</v>
      </c>
    </row>
    <row r="54" spans="1:4" ht="15.6">
      <c r="A54" t="s">
        <v>48</v>
      </c>
      <c r="B54" s="34">
        <f>SUMIF(D$1:D$70, "WEY*",C$1:C$70)</f>
        <v>63</v>
      </c>
      <c r="C54">
        <v>6</v>
      </c>
      <c r="D54" t="s">
        <v>105</v>
      </c>
    </row>
    <row r="55" spans="1:4" ht="15.6">
      <c r="A55" t="s">
        <v>44</v>
      </c>
      <c r="B55" s="34">
        <f>SUMIF(D$1:D$70, "WIT*",C$1:C$70)</f>
        <v>19</v>
      </c>
      <c r="C55">
        <v>7</v>
      </c>
      <c r="D55" t="s">
        <v>106</v>
      </c>
    </row>
    <row r="56" spans="1:4" ht="15.6">
      <c r="A56" t="s">
        <v>14</v>
      </c>
      <c r="B56" s="34">
        <f>SUMIF(D$1:D$70, "WSH*",C$1:C$70)</f>
        <v>11</v>
      </c>
      <c r="C56">
        <v>5</v>
      </c>
      <c r="D56" t="s">
        <v>107</v>
      </c>
    </row>
    <row r="57" spans="1:4" ht="15.6">
      <c r="A57" s="3" t="s">
        <v>50</v>
      </c>
      <c r="B57">
        <f>SUM(B1:B56)</f>
        <v>5326</v>
      </c>
      <c r="C57">
        <v>6</v>
      </c>
      <c r="D57" t="s">
        <v>108</v>
      </c>
    </row>
    <row r="58" spans="1:4">
      <c r="C58" t="s">
        <v>109</v>
      </c>
      <c r="D58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workbookViewId="0">
      <selection activeCell="D6" sqref="D6"/>
    </sheetView>
  </sheetViews>
  <sheetFormatPr defaultRowHeight="15"/>
  <cols>
    <col min="1" max="1" width="35.90625" customWidth="1"/>
    <col min="3" max="3" width="10.36328125" bestFit="1" customWidth="1"/>
    <col min="4" max="4" width="10.36328125" customWidth="1"/>
    <col min="5" max="5" width="10.1796875" style="2" customWidth="1"/>
    <col min="6" max="8" width="10.81640625" style="2" customWidth="1"/>
    <col min="10" max="10" width="8.90625" customWidth="1"/>
  </cols>
  <sheetData>
    <row r="1" spans="1:9" ht="15.6">
      <c r="A1" s="3" t="s">
        <v>4</v>
      </c>
      <c r="B1" t="s">
        <v>53</v>
      </c>
      <c r="C1">
        <v>19</v>
      </c>
      <c r="D1" s="11">
        <v>0.25238425925925928</v>
      </c>
      <c r="E1" s="4">
        <f>SUMIF(B$1:B$70,"ALG*",H$1:H$70)</f>
        <v>6547.4166666666661</v>
      </c>
      <c r="F1" s="2">
        <f>C1*1440</f>
        <v>27360</v>
      </c>
      <c r="G1" s="2">
        <f>D1*1440</f>
        <v>363.43333333333334</v>
      </c>
      <c r="H1" s="2">
        <f>SUM(F1+G1)</f>
        <v>27723.433333333334</v>
      </c>
    </row>
    <row r="2" spans="1:9" ht="15.6">
      <c r="A2" s="3"/>
      <c r="B2" t="s">
        <v>54</v>
      </c>
      <c r="C2">
        <v>14</v>
      </c>
      <c r="D2" s="11">
        <v>0.54046296296296303</v>
      </c>
      <c r="E2" s="4"/>
      <c r="F2" s="2">
        <f t="shared" ref="F2:F65" si="0">C2*1440</f>
        <v>20160</v>
      </c>
      <c r="G2" s="2">
        <f t="shared" ref="G2:G65" si="1">D2*1440</f>
        <v>778.26666666666677</v>
      </c>
      <c r="H2" s="2">
        <f t="shared" ref="H2:H65" si="2">SUM(F2+G2)</f>
        <v>20938.266666666666</v>
      </c>
    </row>
    <row r="3" spans="1:9" ht="15.6">
      <c r="A3" s="3" t="s">
        <v>7</v>
      </c>
      <c r="B3" t="s">
        <v>55</v>
      </c>
      <c r="C3">
        <v>13</v>
      </c>
      <c r="D3" s="11">
        <v>0.47228009259259257</v>
      </c>
      <c r="E3" s="4">
        <f>SUMIF(B$1:B$70,"BAI*",H$1:H$70)</f>
        <v>818.36666666666667</v>
      </c>
      <c r="F3" s="2">
        <f t="shared" si="0"/>
        <v>18720</v>
      </c>
      <c r="G3" s="2">
        <f t="shared" si="1"/>
        <v>680.08333333333326</v>
      </c>
      <c r="H3" s="2">
        <f t="shared" si="2"/>
        <v>19400.083333333332</v>
      </c>
      <c r="I3" s="8"/>
    </row>
    <row r="4" spans="1:9" ht="15.6">
      <c r="A4" s="3" t="s">
        <v>5</v>
      </c>
      <c r="B4" t="s">
        <v>56</v>
      </c>
      <c r="C4">
        <v>13</v>
      </c>
      <c r="D4" s="11">
        <v>0.32412037037037039</v>
      </c>
      <c r="E4" s="4">
        <f>SUMIF(B$1:B$70,"BCL*",H$1:H$70)</f>
        <v>1553.0166666666667</v>
      </c>
      <c r="F4" s="2">
        <f t="shared" si="0"/>
        <v>18720</v>
      </c>
      <c r="G4" s="2">
        <f t="shared" si="1"/>
        <v>466.73333333333335</v>
      </c>
      <c r="H4" s="2">
        <f t="shared" si="2"/>
        <v>19186.733333333334</v>
      </c>
    </row>
    <row r="5" spans="1:9" ht="15.6">
      <c r="A5" s="3" t="s">
        <v>40</v>
      </c>
      <c r="B5" t="s">
        <v>57</v>
      </c>
      <c r="C5">
        <v>11</v>
      </c>
      <c r="D5" s="12">
        <v>0.12238425925925926</v>
      </c>
      <c r="E5" s="4">
        <f>SUMIF(B$1:B$70,"BON*",H$1:H$70)</f>
        <v>1177.55</v>
      </c>
      <c r="F5" s="2">
        <f t="shared" si="0"/>
        <v>15840</v>
      </c>
      <c r="G5" s="2">
        <f t="shared" si="1"/>
        <v>176.23333333333335</v>
      </c>
      <c r="H5" s="2">
        <f t="shared" si="2"/>
        <v>16016.233333333334</v>
      </c>
    </row>
    <row r="6" spans="1:9" ht="15.6">
      <c r="A6" s="3" t="s">
        <v>27</v>
      </c>
      <c r="B6" t="s">
        <v>58</v>
      </c>
      <c r="C6">
        <v>9</v>
      </c>
      <c r="D6" s="11">
        <v>0.54996527777777782</v>
      </c>
      <c r="E6" s="4">
        <f>SUMIF(B$1:B$70,"COL*",H$1:H$70)</f>
        <v>545.5</v>
      </c>
      <c r="F6" s="2">
        <f t="shared" si="0"/>
        <v>12960</v>
      </c>
      <c r="G6" s="2">
        <f t="shared" si="1"/>
        <v>791.95</v>
      </c>
      <c r="H6" s="2">
        <f t="shared" si="2"/>
        <v>13751.95</v>
      </c>
    </row>
    <row r="7" spans="1:9" ht="15.6">
      <c r="A7" s="3"/>
      <c r="B7" t="s">
        <v>59</v>
      </c>
      <c r="C7">
        <v>9</v>
      </c>
      <c r="D7" s="11">
        <v>0.34274305555555556</v>
      </c>
      <c r="E7" s="4"/>
      <c r="F7" s="2">
        <f t="shared" si="0"/>
        <v>12960</v>
      </c>
      <c r="G7" s="2">
        <f t="shared" si="1"/>
        <v>493.55</v>
      </c>
      <c r="H7" s="2">
        <f t="shared" si="2"/>
        <v>13453.55</v>
      </c>
    </row>
    <row r="8" spans="1:9" ht="15.6">
      <c r="A8" s="3" t="s">
        <v>6</v>
      </c>
      <c r="B8" t="s">
        <v>60</v>
      </c>
      <c r="C8">
        <v>8</v>
      </c>
      <c r="D8" s="11">
        <v>0.74826388888888884</v>
      </c>
      <c r="E8" s="4">
        <f>SUMIF(B$1:B$70,"CPL*",H$1:H70)</f>
        <v>7610.083333333333</v>
      </c>
      <c r="F8" s="2">
        <f t="shared" si="0"/>
        <v>11520</v>
      </c>
      <c r="G8" s="2">
        <f t="shared" si="1"/>
        <v>1077.5</v>
      </c>
      <c r="H8" s="2">
        <f t="shared" si="2"/>
        <v>12597.5</v>
      </c>
    </row>
    <row r="9" spans="1:9" ht="15.6">
      <c r="A9" s="3" t="s">
        <v>28</v>
      </c>
      <c r="B9" t="s">
        <v>61</v>
      </c>
      <c r="C9">
        <v>6</v>
      </c>
      <c r="D9" s="11">
        <v>0.82899305555555547</v>
      </c>
      <c r="E9" s="4">
        <f>SUMIF(B$1:B$70,"CRI*",H$1:H$70)</f>
        <v>4208.166666666667</v>
      </c>
      <c r="F9" s="2">
        <f t="shared" si="0"/>
        <v>8640</v>
      </c>
      <c r="G9" s="2">
        <f t="shared" si="1"/>
        <v>1193.7499999999998</v>
      </c>
      <c r="H9" s="2">
        <f t="shared" si="2"/>
        <v>9833.75</v>
      </c>
    </row>
    <row r="10" spans="1:9" ht="15.6">
      <c r="A10" s="3" t="s">
        <v>10</v>
      </c>
      <c r="B10" t="s">
        <v>62</v>
      </c>
      <c r="C10">
        <v>3</v>
      </c>
      <c r="D10" s="11">
        <v>0.76394675925925926</v>
      </c>
      <c r="E10" s="4">
        <f>SUMIF(B$1:B$70,"FIS*",H$1:H$70)</f>
        <v>477.4666666666667</v>
      </c>
      <c r="F10" s="2">
        <f t="shared" si="0"/>
        <v>4320</v>
      </c>
      <c r="G10" s="2">
        <f t="shared" si="1"/>
        <v>1100.0833333333333</v>
      </c>
      <c r="H10" s="2">
        <f t="shared" si="2"/>
        <v>5420.083333333333</v>
      </c>
    </row>
    <row r="11" spans="1:9" ht="15.6">
      <c r="A11" s="3" t="s">
        <v>15</v>
      </c>
      <c r="B11" t="s">
        <v>63</v>
      </c>
      <c r="C11">
        <v>5</v>
      </c>
      <c r="D11" s="11">
        <v>0.33177083333333335</v>
      </c>
      <c r="E11" s="4">
        <f ca="1">SUMIF(B$1:B$570,"FLO*",H$1:H$70)</f>
        <v>962.91666666666674</v>
      </c>
      <c r="F11" s="2">
        <f t="shared" si="0"/>
        <v>7200</v>
      </c>
      <c r="G11" s="2">
        <f t="shared" si="1"/>
        <v>477.75</v>
      </c>
      <c r="H11" s="2">
        <f t="shared" si="2"/>
        <v>7677.75</v>
      </c>
    </row>
    <row r="12" spans="1:9" ht="15.6">
      <c r="A12" s="3" t="s">
        <v>16</v>
      </c>
      <c r="B12" t="s">
        <v>64</v>
      </c>
      <c r="C12">
        <v>5</v>
      </c>
      <c r="D12" s="11">
        <v>0.24427083333333333</v>
      </c>
      <c r="E12" s="4">
        <f>SUMIF(B$1:B$70,"FPL*",H$1:H$70)</f>
        <v>2696.8833333333332</v>
      </c>
      <c r="F12" s="2">
        <f t="shared" si="0"/>
        <v>7200</v>
      </c>
      <c r="G12" s="2">
        <f t="shared" si="1"/>
        <v>351.75</v>
      </c>
      <c r="H12" s="2">
        <f t="shared" si="2"/>
        <v>7551.75</v>
      </c>
    </row>
    <row r="13" spans="1:9" ht="15.6">
      <c r="A13" s="3" t="s">
        <v>17</v>
      </c>
      <c r="B13" t="s">
        <v>65</v>
      </c>
      <c r="C13">
        <v>3</v>
      </c>
      <c r="D13" s="11">
        <v>0.77109953703703704</v>
      </c>
      <c r="E13" s="4">
        <f>SUMIF(B$1:B$70,"GIL*",H$1:H$70)</f>
        <v>3329.4166666666665</v>
      </c>
      <c r="F13" s="2">
        <f t="shared" si="0"/>
        <v>4320</v>
      </c>
      <c r="G13" s="2">
        <f t="shared" si="1"/>
        <v>1110.3833333333334</v>
      </c>
      <c r="H13" s="2">
        <f t="shared" si="2"/>
        <v>5430.3833333333332</v>
      </c>
    </row>
    <row r="14" spans="1:9" ht="15.6">
      <c r="A14" s="3" t="s">
        <v>18</v>
      </c>
      <c r="B14" t="s">
        <v>66</v>
      </c>
      <c r="C14">
        <v>4</v>
      </c>
      <c r="D14" s="12">
        <v>9.2511574074074066E-2</v>
      </c>
      <c r="E14" s="4">
        <f>SUMIF(B$1:B$70,"HPL*",H$1:H$70)</f>
        <v>2547.6333333333332</v>
      </c>
      <c r="F14" s="2">
        <f t="shared" si="0"/>
        <v>5760</v>
      </c>
      <c r="G14" s="2">
        <f t="shared" si="1"/>
        <v>133.21666666666664</v>
      </c>
      <c r="H14" s="2">
        <f t="shared" si="2"/>
        <v>5893.2166666666662</v>
      </c>
    </row>
    <row r="15" spans="1:9" ht="15.6">
      <c r="A15" s="3" t="s">
        <v>19</v>
      </c>
      <c r="B15" t="s">
        <v>67</v>
      </c>
      <c r="C15">
        <v>3</v>
      </c>
      <c r="D15" s="11">
        <v>0.84107638888888892</v>
      </c>
      <c r="E15" s="4">
        <f>SUMIF(B$1:B$70,"IVL*",H$1:H$70)</f>
        <v>27723.433333333334</v>
      </c>
      <c r="F15" s="2">
        <f t="shared" si="0"/>
        <v>4320</v>
      </c>
      <c r="G15" s="2">
        <f t="shared" si="1"/>
        <v>1211.1500000000001</v>
      </c>
      <c r="H15" s="2">
        <f t="shared" si="2"/>
        <v>5531.15</v>
      </c>
    </row>
    <row r="16" spans="1:9" ht="15.6">
      <c r="A16" s="3"/>
      <c r="B16" t="s">
        <v>68</v>
      </c>
      <c r="C16">
        <v>3</v>
      </c>
      <c r="D16" s="11">
        <v>0.83398148148148143</v>
      </c>
      <c r="E16" s="4"/>
      <c r="F16" s="2">
        <f t="shared" si="0"/>
        <v>4320</v>
      </c>
      <c r="G16" s="2">
        <f t="shared" si="1"/>
        <v>1200.9333333333332</v>
      </c>
      <c r="H16" s="2">
        <f t="shared" si="2"/>
        <v>5520.9333333333334</v>
      </c>
    </row>
    <row r="17" spans="1:9">
      <c r="B17" t="s">
        <v>69</v>
      </c>
      <c r="C17">
        <v>3</v>
      </c>
      <c r="D17" s="11">
        <v>0.58724537037037039</v>
      </c>
      <c r="F17" s="2">
        <f t="shared" si="0"/>
        <v>4320</v>
      </c>
      <c r="G17" s="2">
        <f t="shared" si="1"/>
        <v>845.63333333333333</v>
      </c>
      <c r="H17" s="2">
        <f t="shared" si="2"/>
        <v>5165.6333333333332</v>
      </c>
    </row>
    <row r="18" spans="1:9" ht="15.6">
      <c r="A18" s="3" t="s">
        <v>20</v>
      </c>
      <c r="B18" t="s">
        <v>70</v>
      </c>
      <c r="C18">
        <v>3</v>
      </c>
      <c r="D18" s="11">
        <v>0.23811342592592591</v>
      </c>
      <c r="E18" s="4">
        <f>SUMIF(B$1:B$70,"KAU*",H$1:H$70)</f>
        <v>16798.466666666667</v>
      </c>
      <c r="F18" s="2">
        <f t="shared" si="0"/>
        <v>4320</v>
      </c>
      <c r="G18" s="2">
        <f t="shared" si="1"/>
        <v>342.88333333333333</v>
      </c>
      <c r="H18" s="2">
        <f t="shared" si="2"/>
        <v>4662.8833333333332</v>
      </c>
    </row>
    <row r="19" spans="1:9" ht="15.6">
      <c r="A19" s="3" t="s">
        <v>21</v>
      </c>
      <c r="B19" t="s">
        <v>71</v>
      </c>
      <c r="C19">
        <v>2</v>
      </c>
      <c r="D19" s="11">
        <v>0.95276620370370368</v>
      </c>
      <c r="E19" s="4">
        <f>SUMIF(B$1:B$70,"KEW*",H$1:H$70)</f>
        <v>2846.4833333333336</v>
      </c>
      <c r="F19" s="2">
        <f t="shared" si="0"/>
        <v>2880</v>
      </c>
      <c r="G19" s="2">
        <f t="shared" si="1"/>
        <v>1371.9833333333333</v>
      </c>
      <c r="H19" s="2">
        <f t="shared" si="2"/>
        <v>4251.9833333333336</v>
      </c>
    </row>
    <row r="20" spans="1:9" ht="15.6">
      <c r="A20" s="3" t="s">
        <v>22</v>
      </c>
      <c r="B20" t="s">
        <v>72</v>
      </c>
      <c r="C20">
        <v>2</v>
      </c>
      <c r="D20" s="11">
        <v>0.922337962962963</v>
      </c>
      <c r="E20" s="4">
        <f>SUMIF(B$1:B$70,"KIM*",H$1:H$70)</f>
        <v>13453.55</v>
      </c>
      <c r="F20" s="2">
        <f t="shared" si="0"/>
        <v>2880</v>
      </c>
      <c r="G20" s="2">
        <f t="shared" si="1"/>
        <v>1328.1666666666667</v>
      </c>
      <c r="H20" s="2">
        <f t="shared" si="2"/>
        <v>4208.166666666667</v>
      </c>
    </row>
    <row r="21" spans="1:9" ht="15.6">
      <c r="A21" s="3" t="s">
        <v>24</v>
      </c>
      <c r="B21" t="s">
        <v>73</v>
      </c>
      <c r="C21">
        <v>0</v>
      </c>
      <c r="D21" s="11">
        <v>0.63693287037037039</v>
      </c>
      <c r="E21" s="4">
        <f>SUMIF(B$1:B$70,"LAK*",H$1:H$70)</f>
        <v>7677.75</v>
      </c>
      <c r="F21" s="2">
        <f t="shared" si="0"/>
        <v>0</v>
      </c>
      <c r="G21" s="2">
        <f t="shared" si="1"/>
        <v>917.18333333333339</v>
      </c>
      <c r="H21" s="2">
        <f t="shared" si="2"/>
        <v>917.18333333333339</v>
      </c>
    </row>
    <row r="22" spans="1:9" ht="15.6">
      <c r="A22" s="3" t="s">
        <v>25</v>
      </c>
      <c r="B22" t="s">
        <v>74</v>
      </c>
      <c r="C22">
        <v>2</v>
      </c>
      <c r="D22" s="11">
        <v>0.31209490740740742</v>
      </c>
      <c r="E22" s="4">
        <f>SUMIF(B$1:B$70,"LEN*",H$1:H$70)</f>
        <v>5430.3833333333332</v>
      </c>
      <c r="F22" s="2">
        <f t="shared" si="0"/>
        <v>2880</v>
      </c>
      <c r="G22" s="2">
        <f t="shared" si="1"/>
        <v>449.41666666666669</v>
      </c>
      <c r="H22" s="2">
        <f t="shared" si="2"/>
        <v>3329.4166666666665</v>
      </c>
    </row>
    <row r="23" spans="1:9" ht="15.6">
      <c r="A23" s="3" t="s">
        <v>23</v>
      </c>
      <c r="B23" t="s">
        <v>75</v>
      </c>
      <c r="C23">
        <v>2</v>
      </c>
      <c r="D23" s="11">
        <v>0.31905092592592593</v>
      </c>
      <c r="E23" s="4">
        <f>SUMIF(B$1:B$70,"LIT*",H$1:H$70)</f>
        <v>20938.266666666666</v>
      </c>
      <c r="F23" s="2">
        <f t="shared" si="0"/>
        <v>2880</v>
      </c>
      <c r="G23" s="2">
        <f t="shared" si="1"/>
        <v>459.43333333333334</v>
      </c>
      <c r="H23" s="2">
        <f t="shared" si="2"/>
        <v>3339.4333333333334</v>
      </c>
    </row>
    <row r="24" spans="1:9" ht="15.6">
      <c r="A24" s="3" t="s">
        <v>26</v>
      </c>
      <c r="B24" t="s">
        <v>76</v>
      </c>
      <c r="C24">
        <v>1</v>
      </c>
      <c r="D24" s="11">
        <v>0.97672453703703699</v>
      </c>
      <c r="E24" s="4">
        <f>SUMIF(B$1:B$70,"MAN*",H$1:H$70)</f>
        <v>5520.9333333333334</v>
      </c>
      <c r="F24" s="2">
        <f t="shared" si="0"/>
        <v>1440</v>
      </c>
      <c r="G24" s="2">
        <f t="shared" si="1"/>
        <v>1406.4833333333333</v>
      </c>
      <c r="H24" s="2">
        <f t="shared" si="2"/>
        <v>2846.4833333333336</v>
      </c>
    </row>
    <row r="25" spans="1:9" ht="15.6">
      <c r="A25" s="3" t="s">
        <v>33</v>
      </c>
      <c r="B25" t="s">
        <v>77</v>
      </c>
      <c r="C25">
        <v>1</v>
      </c>
      <c r="D25" s="11">
        <v>0.87283564814814818</v>
      </c>
      <c r="E25" s="4">
        <f>SUMIF(B$1:B$70,"MAR*",H$1:H$70)</f>
        <v>799.2</v>
      </c>
      <c r="F25" s="2">
        <f t="shared" si="0"/>
        <v>1440</v>
      </c>
      <c r="G25" s="2">
        <f t="shared" si="1"/>
        <v>1256.8833333333334</v>
      </c>
      <c r="H25" s="2">
        <f t="shared" si="2"/>
        <v>2696.8833333333332</v>
      </c>
    </row>
    <row r="26" spans="1:9" ht="15.6">
      <c r="A26" s="3" t="s">
        <v>41</v>
      </c>
      <c r="B26" t="s">
        <v>78</v>
      </c>
      <c r="C26">
        <v>1</v>
      </c>
      <c r="D26" s="11">
        <v>0.76918981481481474</v>
      </c>
      <c r="E26" s="4">
        <f>SUMIF(B$1:B$70,"MAT*",H$1:H$70)</f>
        <v>0</v>
      </c>
      <c r="F26" s="2">
        <f t="shared" si="0"/>
        <v>1440</v>
      </c>
      <c r="G26" s="2">
        <f t="shared" si="1"/>
        <v>1107.6333333333332</v>
      </c>
      <c r="H26" s="2">
        <f t="shared" si="2"/>
        <v>2547.6333333333332</v>
      </c>
    </row>
    <row r="27" spans="1:9" ht="15.6">
      <c r="A27" s="3" t="s">
        <v>29</v>
      </c>
      <c r="B27" t="s">
        <v>79</v>
      </c>
      <c r="C27">
        <v>1</v>
      </c>
      <c r="D27" s="11">
        <v>0.3087037037037037</v>
      </c>
      <c r="E27" s="4">
        <f>SUMIF(B$1:B$70,"MRT*",H$1:H$70)</f>
        <v>13751.95</v>
      </c>
      <c r="F27" s="2">
        <f t="shared" si="0"/>
        <v>1440</v>
      </c>
      <c r="G27" s="2">
        <f t="shared" si="1"/>
        <v>444.5333333333333</v>
      </c>
      <c r="H27" s="2">
        <f t="shared" si="2"/>
        <v>1884.5333333333333</v>
      </c>
    </row>
    <row r="28" spans="1:9" ht="15.6">
      <c r="A28" s="3" t="s">
        <v>30</v>
      </c>
      <c r="B28" t="s">
        <v>80</v>
      </c>
      <c r="C28">
        <v>1</v>
      </c>
      <c r="D28" s="11">
        <v>0.4319560185185185</v>
      </c>
      <c r="E28" s="4">
        <f>SUMIF(B$1:B$70,"NIA*",H$1:H$70)</f>
        <v>1089.4166666666667</v>
      </c>
      <c r="F28" s="2">
        <f t="shared" si="0"/>
        <v>1440</v>
      </c>
      <c r="G28" s="2">
        <f t="shared" si="1"/>
        <v>622.01666666666665</v>
      </c>
      <c r="H28" s="2">
        <f t="shared" si="2"/>
        <v>2062.0166666666664</v>
      </c>
    </row>
    <row r="29" spans="1:9" ht="15.6">
      <c r="A29" s="3" t="s">
        <v>35</v>
      </c>
      <c r="B29" t="s">
        <v>81</v>
      </c>
      <c r="C29">
        <v>1</v>
      </c>
      <c r="D29" s="11">
        <v>0.35391203703703705</v>
      </c>
      <c r="E29" s="4">
        <f>SUMIF(B$1:B$70,"OCF*",H$1:H$70)</f>
        <v>5531.15</v>
      </c>
      <c r="F29" s="2">
        <f t="shared" si="0"/>
        <v>1440</v>
      </c>
      <c r="G29" s="2">
        <f t="shared" si="1"/>
        <v>509.63333333333338</v>
      </c>
      <c r="H29" s="2">
        <f t="shared" si="2"/>
        <v>1949.6333333333334</v>
      </c>
    </row>
    <row r="30" spans="1:9" ht="15.6">
      <c r="A30" s="3" t="s">
        <v>34</v>
      </c>
      <c r="B30" t="s">
        <v>82</v>
      </c>
      <c r="C30">
        <v>1</v>
      </c>
      <c r="D30" s="11">
        <v>0.30458333333333332</v>
      </c>
      <c r="E30" s="4">
        <f>SUMIF(B$1:B$70,"OCO*",H$1:H$70)</f>
        <v>5893.2166666666662</v>
      </c>
      <c r="F30" s="2">
        <f t="shared" si="0"/>
        <v>1440</v>
      </c>
      <c r="G30" s="2">
        <f t="shared" si="1"/>
        <v>438.59999999999997</v>
      </c>
      <c r="H30" s="2">
        <f t="shared" si="2"/>
        <v>1878.6</v>
      </c>
    </row>
    <row r="31" spans="1:9" ht="15.6">
      <c r="A31" s="3" t="s">
        <v>36</v>
      </c>
      <c r="B31" t="s">
        <v>83</v>
      </c>
      <c r="C31">
        <v>1</v>
      </c>
      <c r="D31" s="11">
        <v>0.19342592592592592</v>
      </c>
      <c r="E31" s="4">
        <f>SUMIF(B$1:B$70,"ON2*",H$1:H$70)</f>
        <v>995.56666666666649</v>
      </c>
      <c r="F31" s="2">
        <f t="shared" si="0"/>
        <v>1440</v>
      </c>
      <c r="G31" s="2">
        <f t="shared" si="1"/>
        <v>278.5333333333333</v>
      </c>
      <c r="H31" s="2">
        <f t="shared" si="2"/>
        <v>1718.5333333333333</v>
      </c>
      <c r="I31" s="8"/>
    </row>
    <row r="32" spans="1:9" ht="15.6">
      <c r="A32" s="3" t="s">
        <v>37</v>
      </c>
      <c r="B32" t="s">
        <v>84</v>
      </c>
      <c r="C32">
        <v>1</v>
      </c>
      <c r="D32" s="12">
        <v>8.8888888888888892E-2</v>
      </c>
      <c r="E32" s="4">
        <f>SUMIF(B$1:B$70,"ONE*",H$1:H$70)</f>
        <v>5420.083333333333</v>
      </c>
      <c r="F32" s="2">
        <f t="shared" si="0"/>
        <v>1440</v>
      </c>
      <c r="G32" s="2">
        <f t="shared" si="1"/>
        <v>128</v>
      </c>
      <c r="H32" s="2">
        <f t="shared" si="2"/>
        <v>1568</v>
      </c>
    </row>
    <row r="33" spans="1:9">
      <c r="B33" t="s">
        <v>85</v>
      </c>
      <c r="C33">
        <v>1</v>
      </c>
      <c r="D33" s="11">
        <v>7.8483796296296301E-2</v>
      </c>
      <c r="F33" s="2">
        <f t="shared" si="0"/>
        <v>1440</v>
      </c>
      <c r="G33" s="2">
        <f t="shared" si="1"/>
        <v>113.01666666666668</v>
      </c>
      <c r="H33" s="2">
        <f t="shared" si="2"/>
        <v>1553.0166666666667</v>
      </c>
    </row>
    <row r="34" spans="1:9" ht="15.6">
      <c r="A34" s="3" t="s">
        <v>31</v>
      </c>
      <c r="B34" t="s">
        <v>86</v>
      </c>
      <c r="C34">
        <v>0</v>
      </c>
      <c r="D34" s="11">
        <v>0.89943287037037034</v>
      </c>
      <c r="E34" s="4">
        <f>SUMIF(B$1:B$70,"PES*",H$1:H$70)</f>
        <v>1878.6</v>
      </c>
      <c r="F34" s="2">
        <f t="shared" si="0"/>
        <v>0</v>
      </c>
      <c r="G34" s="2">
        <f t="shared" si="1"/>
        <v>1295.1833333333334</v>
      </c>
      <c r="H34" s="2">
        <f t="shared" si="2"/>
        <v>1295.1833333333334</v>
      </c>
      <c r="I34" s="8"/>
    </row>
    <row r="35" spans="1:9" ht="15.6">
      <c r="A35" s="3" t="s">
        <v>38</v>
      </c>
      <c r="B35" t="s">
        <v>87</v>
      </c>
      <c r="C35">
        <v>0</v>
      </c>
      <c r="D35" s="11">
        <v>0.69136574074074064</v>
      </c>
      <c r="E35" s="4">
        <f>SUMIF(B$1:B$70,"SCA*",H$1:H$70)</f>
        <v>0</v>
      </c>
      <c r="F35" s="2">
        <f t="shared" si="0"/>
        <v>0</v>
      </c>
      <c r="G35" s="2">
        <f t="shared" si="1"/>
        <v>995.56666666666649</v>
      </c>
      <c r="H35" s="2">
        <f t="shared" si="2"/>
        <v>995.56666666666649</v>
      </c>
    </row>
    <row r="36" spans="1:9">
      <c r="B36" t="s">
        <v>88</v>
      </c>
      <c r="C36">
        <v>0</v>
      </c>
      <c r="D36" s="12">
        <v>0.82079861111111108</v>
      </c>
      <c r="F36" s="2">
        <f t="shared" si="0"/>
        <v>0</v>
      </c>
      <c r="G36" s="2">
        <f t="shared" si="1"/>
        <v>1181.95</v>
      </c>
      <c r="H36" s="2">
        <f t="shared" si="2"/>
        <v>1181.95</v>
      </c>
    </row>
    <row r="37" spans="1:9" ht="15.6">
      <c r="A37" s="3" t="s">
        <v>39</v>
      </c>
      <c r="B37" t="s">
        <v>89</v>
      </c>
      <c r="C37">
        <v>0</v>
      </c>
      <c r="D37" s="11">
        <v>0.82415509259259256</v>
      </c>
      <c r="E37" s="4">
        <f>SUMIF(B$1:B$70,"SEY*",H$1:H$70)</f>
        <v>9833.75</v>
      </c>
      <c r="F37" s="2">
        <f t="shared" si="0"/>
        <v>0</v>
      </c>
      <c r="G37" s="2">
        <f t="shared" si="1"/>
        <v>1186.7833333333333</v>
      </c>
      <c r="H37" s="2">
        <f t="shared" si="2"/>
        <v>1186.7833333333333</v>
      </c>
      <c r="I37" s="8"/>
    </row>
    <row r="38" spans="1:9">
      <c r="B38" t="s">
        <v>90</v>
      </c>
      <c r="C38">
        <v>0</v>
      </c>
      <c r="D38" s="11">
        <v>0.81774305555555549</v>
      </c>
      <c r="F38" s="2">
        <f t="shared" si="0"/>
        <v>0</v>
      </c>
      <c r="G38" s="2">
        <f t="shared" si="1"/>
        <v>1177.55</v>
      </c>
      <c r="H38" s="2">
        <f t="shared" si="2"/>
        <v>1177.55</v>
      </c>
    </row>
    <row r="39" spans="1:9" ht="15.6">
      <c r="A39" s="3" t="s">
        <v>42</v>
      </c>
      <c r="B39" t="s">
        <v>91</v>
      </c>
      <c r="C39">
        <v>0</v>
      </c>
      <c r="D39" s="11">
        <v>0.80678240740740748</v>
      </c>
      <c r="E39" s="4">
        <f>SUMIF(B$1:B$70,"SHA*",H$1:H$70)</f>
        <v>20481.916666666668</v>
      </c>
      <c r="F39" s="2">
        <f t="shared" si="0"/>
        <v>0</v>
      </c>
      <c r="G39" s="2">
        <f t="shared" si="1"/>
        <v>1161.7666666666669</v>
      </c>
      <c r="H39" s="2">
        <f t="shared" si="2"/>
        <v>1161.7666666666669</v>
      </c>
    </row>
    <row r="40" spans="1:9" ht="15.6">
      <c r="A40" s="3" t="s">
        <v>45</v>
      </c>
      <c r="B40" t="s">
        <v>92</v>
      </c>
      <c r="C40">
        <v>0</v>
      </c>
      <c r="D40" s="11">
        <v>0.75653935185185184</v>
      </c>
      <c r="E40" s="4">
        <f>SUMIF(B$1:B$70,"SHI*",H$1:H$70)</f>
        <v>167.51666666666665</v>
      </c>
      <c r="F40" s="2">
        <f t="shared" si="0"/>
        <v>0</v>
      </c>
      <c r="G40" s="2">
        <f t="shared" si="1"/>
        <v>1089.4166666666667</v>
      </c>
      <c r="H40" s="2">
        <f t="shared" si="2"/>
        <v>1089.4166666666667</v>
      </c>
      <c r="I40" s="8"/>
    </row>
    <row r="41" spans="1:9" ht="15.6">
      <c r="A41" s="3" t="s">
        <v>12</v>
      </c>
      <c r="B41" t="s">
        <v>93</v>
      </c>
      <c r="C41">
        <v>0</v>
      </c>
      <c r="D41" s="12">
        <v>0.66869212962962965</v>
      </c>
      <c r="E41" s="4">
        <f>SUMIF(B$1:B$70,"SIS*",H$1:H$70)</f>
        <v>4251.9833333333336</v>
      </c>
      <c r="F41" s="2">
        <f t="shared" si="0"/>
        <v>0</v>
      </c>
      <c r="G41" s="2">
        <f t="shared" si="1"/>
        <v>962.91666666666674</v>
      </c>
      <c r="H41" s="2">
        <f t="shared" si="2"/>
        <v>962.91666666666674</v>
      </c>
    </row>
    <row r="42" spans="1:9" ht="15.6">
      <c r="A42" s="3" t="s">
        <v>13</v>
      </c>
      <c r="B42" t="s">
        <v>94</v>
      </c>
      <c r="C42">
        <v>0</v>
      </c>
      <c r="D42" s="11">
        <v>0.59828703703703701</v>
      </c>
      <c r="E42" s="4">
        <f>SUMIF(B$1:B$70,"STR*",H$1:H$70)</f>
        <v>21349.716666666667</v>
      </c>
      <c r="F42" s="2">
        <f t="shared" si="0"/>
        <v>0</v>
      </c>
      <c r="G42" s="2">
        <f t="shared" si="1"/>
        <v>861.5333333333333</v>
      </c>
      <c r="H42" s="2">
        <f t="shared" si="2"/>
        <v>861.5333333333333</v>
      </c>
    </row>
    <row r="43" spans="1:9" ht="15.6">
      <c r="A43" s="3" t="s">
        <v>46</v>
      </c>
      <c r="B43" t="s">
        <v>95</v>
      </c>
      <c r="C43">
        <v>0</v>
      </c>
      <c r="D43" s="11">
        <v>0.56831018518518517</v>
      </c>
      <c r="E43" s="4">
        <f>SUMIF(B$1:B$70,"SUR*",H$1:H$70)</f>
        <v>415.61666666666667</v>
      </c>
      <c r="F43" s="2">
        <f t="shared" si="0"/>
        <v>0</v>
      </c>
      <c r="G43" s="2">
        <f t="shared" si="1"/>
        <v>818.36666666666667</v>
      </c>
      <c r="H43" s="2">
        <f t="shared" si="2"/>
        <v>818.36666666666667</v>
      </c>
    </row>
    <row r="44" spans="1:9" ht="15.6">
      <c r="A44" s="3" t="s">
        <v>43</v>
      </c>
      <c r="B44" t="s">
        <v>96</v>
      </c>
      <c r="C44">
        <v>0</v>
      </c>
      <c r="D44" s="11">
        <v>0.55500000000000005</v>
      </c>
      <c r="E44" s="4">
        <f>SUMIF(B$1:B$70,"TIG*",H$1:H$70)</f>
        <v>5165.6333333333332</v>
      </c>
      <c r="F44" s="2">
        <f t="shared" si="0"/>
        <v>0</v>
      </c>
      <c r="G44" s="2">
        <f t="shared" si="1"/>
        <v>799.2</v>
      </c>
      <c r="H44" s="2">
        <f t="shared" si="2"/>
        <v>799.2</v>
      </c>
    </row>
    <row r="45" spans="1:9" ht="15.6">
      <c r="A45" s="3" t="s">
        <v>32</v>
      </c>
      <c r="B45" t="s">
        <v>97</v>
      </c>
      <c r="C45">
        <v>0</v>
      </c>
      <c r="D45" s="11">
        <v>0.53863425925925923</v>
      </c>
      <c r="E45" s="4">
        <f>SUMIF(B$1:B$70,"WAS*",H$1:H$70)</f>
        <v>1161.7666666666669</v>
      </c>
      <c r="F45" s="2">
        <f t="shared" si="0"/>
        <v>0</v>
      </c>
      <c r="G45" s="2">
        <f t="shared" si="1"/>
        <v>775.63333333333333</v>
      </c>
      <c r="H45" s="2">
        <f t="shared" si="2"/>
        <v>775.63333333333333</v>
      </c>
    </row>
    <row r="46" spans="1:9" ht="15.6">
      <c r="A46" s="3"/>
      <c r="B46" t="s">
        <v>98</v>
      </c>
      <c r="C46">
        <v>0</v>
      </c>
      <c r="D46" s="11">
        <v>0.23710648148148147</v>
      </c>
      <c r="E46" s="4"/>
      <c r="F46" s="2">
        <f t="shared" si="0"/>
        <v>0</v>
      </c>
      <c r="G46" s="2">
        <f t="shared" si="1"/>
        <v>341.43333333333334</v>
      </c>
      <c r="H46" s="2">
        <f t="shared" si="2"/>
        <v>341.43333333333334</v>
      </c>
    </row>
    <row r="47" spans="1:9" ht="15.6">
      <c r="A47" s="3"/>
      <c r="B47" t="s">
        <v>99</v>
      </c>
      <c r="C47">
        <v>0</v>
      </c>
      <c r="D47" s="12">
        <v>0.37881944444444443</v>
      </c>
      <c r="E47" s="4"/>
      <c r="F47" s="2">
        <f t="shared" si="0"/>
        <v>0</v>
      </c>
      <c r="G47" s="2">
        <f t="shared" si="1"/>
        <v>545.5</v>
      </c>
      <c r="H47" s="2">
        <f t="shared" si="2"/>
        <v>545.5</v>
      </c>
    </row>
    <row r="48" spans="1:9" ht="15.6">
      <c r="A48" s="3"/>
      <c r="B48" t="s">
        <v>100</v>
      </c>
      <c r="C48">
        <v>0</v>
      </c>
      <c r="D48" s="11">
        <v>0.33157407407407408</v>
      </c>
      <c r="E48" s="4"/>
      <c r="F48" s="2">
        <f t="shared" si="0"/>
        <v>0</v>
      </c>
      <c r="G48" s="2">
        <f t="shared" si="1"/>
        <v>477.4666666666667</v>
      </c>
      <c r="H48" s="2">
        <f t="shared" si="2"/>
        <v>477.4666666666667</v>
      </c>
    </row>
    <row r="49" spans="1:8" ht="15.6">
      <c r="A49" s="3" t="s">
        <v>47</v>
      </c>
      <c r="B49" t="s">
        <v>101</v>
      </c>
      <c r="C49">
        <v>0</v>
      </c>
      <c r="D49" s="11">
        <v>0.29101851851851851</v>
      </c>
      <c r="E49" s="4">
        <f>SUMIF(B$1:B$70,"WAU*",H$1:H$70)</f>
        <v>20103.5</v>
      </c>
      <c r="F49" s="2">
        <f t="shared" si="0"/>
        <v>0</v>
      </c>
      <c r="G49" s="2">
        <f t="shared" si="1"/>
        <v>419.06666666666666</v>
      </c>
      <c r="H49" s="2">
        <f t="shared" si="2"/>
        <v>419.06666666666666</v>
      </c>
    </row>
    <row r="50" spans="1:8" ht="15.6">
      <c r="A50" s="3" t="s">
        <v>48</v>
      </c>
      <c r="B50" t="s">
        <v>102</v>
      </c>
      <c r="C50">
        <v>0</v>
      </c>
      <c r="D50" s="11">
        <v>0.28862268518518519</v>
      </c>
      <c r="E50" s="4">
        <f>SUMIF(B$1:B$70,"WEY*",H$1:H$70)</f>
        <v>1568</v>
      </c>
      <c r="F50" s="2">
        <f t="shared" si="0"/>
        <v>0</v>
      </c>
      <c r="G50" s="2">
        <f t="shared" si="1"/>
        <v>415.61666666666667</v>
      </c>
      <c r="H50" s="2">
        <f t="shared" si="2"/>
        <v>415.61666666666667</v>
      </c>
    </row>
    <row r="51" spans="1:8" ht="15.6">
      <c r="A51" s="3" t="s">
        <v>44</v>
      </c>
      <c r="B51" t="s">
        <v>103</v>
      </c>
      <c r="C51">
        <v>0</v>
      </c>
      <c r="D51" s="12">
        <v>0.26712962962962966</v>
      </c>
      <c r="E51" s="4">
        <f>SUMIF(B$1:B$70,"WIT*",H$1:H$70)</f>
        <v>775.63333333333333</v>
      </c>
      <c r="F51" s="2">
        <f t="shared" si="0"/>
        <v>0</v>
      </c>
      <c r="G51" s="2">
        <f t="shared" si="1"/>
        <v>384.66666666666669</v>
      </c>
      <c r="H51" s="2">
        <f t="shared" si="2"/>
        <v>384.66666666666669</v>
      </c>
    </row>
    <row r="52" spans="1:8" ht="15.6">
      <c r="A52" t="s">
        <v>8</v>
      </c>
      <c r="B52" t="s">
        <v>104</v>
      </c>
      <c r="C52">
        <v>0</v>
      </c>
      <c r="D52" s="12">
        <v>0.26442129629629629</v>
      </c>
      <c r="E52" s="4">
        <f>SUMIF(B$1:B$70,"EGG*",H$1:H$70)</f>
        <v>3569.7666666666664</v>
      </c>
      <c r="F52" s="2">
        <f t="shared" si="0"/>
        <v>0</v>
      </c>
      <c r="G52" s="2">
        <f t="shared" si="1"/>
        <v>380.76666666666665</v>
      </c>
      <c r="H52" s="2">
        <f t="shared" si="2"/>
        <v>380.76666666666665</v>
      </c>
    </row>
    <row r="53" spans="1:8" ht="15.6">
      <c r="A53" s="3" t="s">
        <v>11</v>
      </c>
      <c r="B53" t="s">
        <v>105</v>
      </c>
      <c r="C53">
        <v>0</v>
      </c>
      <c r="D53" s="12">
        <v>0.17300925925925925</v>
      </c>
      <c r="E53" s="4">
        <f>SUMIF(B$1:B$70,"FOR*",H$1:H$70)</f>
        <v>384.66666666666669</v>
      </c>
      <c r="F53" s="2">
        <f t="shared" si="0"/>
        <v>0</v>
      </c>
      <c r="G53" s="2">
        <f t="shared" si="1"/>
        <v>249.13333333333333</v>
      </c>
      <c r="H53" s="2">
        <f t="shared" si="2"/>
        <v>249.13333333333333</v>
      </c>
    </row>
    <row r="54" spans="1:8" ht="15.6">
      <c r="A54" s="3" t="s">
        <v>14</v>
      </c>
      <c r="B54" t="s">
        <v>106</v>
      </c>
      <c r="C54">
        <v>0</v>
      </c>
      <c r="D54" s="12">
        <v>0.11633101851851851</v>
      </c>
      <c r="E54" s="4">
        <f>SUMIF(B$1:B$70,"WSH*",H$1:H$70)</f>
        <v>419.06666666666666</v>
      </c>
      <c r="F54" s="2">
        <f t="shared" si="0"/>
        <v>0</v>
      </c>
      <c r="G54" s="2">
        <f t="shared" si="1"/>
        <v>167.51666666666665</v>
      </c>
      <c r="H54" s="2">
        <f t="shared" si="2"/>
        <v>167.51666666666665</v>
      </c>
    </row>
    <row r="55" spans="1:8" ht="15.6">
      <c r="A55" s="3" t="s">
        <v>9</v>
      </c>
      <c r="B55" t="s">
        <v>107</v>
      </c>
      <c r="C55">
        <v>0</v>
      </c>
      <c r="D55" s="12">
        <v>4.0509259259259259E-2</v>
      </c>
      <c r="E55" s="4">
        <f>SUMIF(B$1:B$70,"EPH*",H$1:H$70)</f>
        <v>380.76666666666665</v>
      </c>
      <c r="F55" s="2">
        <f t="shared" si="0"/>
        <v>0</v>
      </c>
      <c r="G55" s="2">
        <f t="shared" si="1"/>
        <v>58.333333333333336</v>
      </c>
      <c r="H55" s="2">
        <f t="shared" si="2"/>
        <v>58.333333333333336</v>
      </c>
    </row>
    <row r="56" spans="1:8">
      <c r="B56" t="s">
        <v>108</v>
      </c>
      <c r="C56">
        <v>0</v>
      </c>
      <c r="D56" s="12">
        <v>3.3009259259259259E-2</v>
      </c>
      <c r="F56" s="2">
        <f t="shared" si="0"/>
        <v>0</v>
      </c>
      <c r="G56" s="2">
        <f t="shared" si="1"/>
        <v>47.533333333333331</v>
      </c>
      <c r="H56" s="2">
        <f t="shared" si="2"/>
        <v>47.533333333333331</v>
      </c>
    </row>
    <row r="57" spans="1:8">
      <c r="F57" s="2">
        <f t="shared" si="0"/>
        <v>0</v>
      </c>
      <c r="G57" s="2">
        <f t="shared" si="1"/>
        <v>0</v>
      </c>
      <c r="H57" s="2">
        <f t="shared" si="2"/>
        <v>0</v>
      </c>
    </row>
    <row r="58" spans="1:8">
      <c r="F58" s="2">
        <f t="shared" si="0"/>
        <v>0</v>
      </c>
      <c r="G58" s="2">
        <f t="shared" si="1"/>
        <v>0</v>
      </c>
      <c r="H58" s="2">
        <f t="shared" si="2"/>
        <v>0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6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0B46A6B-21D2-49CB-8313-5D8F04EB4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B05DFD-0219-451B-9E1F-87FBFA53466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Molly Komp</cp:lastModifiedBy>
  <cp:revision/>
  <cp:lastPrinted>2023-08-01T14:36:08Z</cp:lastPrinted>
  <dcterms:created xsi:type="dcterms:W3CDTF">1996-12-17T01:32:42Z</dcterms:created>
  <dcterms:modified xsi:type="dcterms:W3CDTF">2023-08-01T14:36:20Z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